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1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'Part-III.'!$A$1:$BJ$22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K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S</t>
        </r>
        <r>
          <rPr>
            <b/>
            <sz val="12"/>
            <rFont val="Tahoma"/>
            <family val="2"/>
          </rPr>
          <t>EPT' 10</t>
        </r>
      </text>
    </comment>
    <comment ref="N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</t>
        </r>
        <r>
          <rPr>
            <b/>
            <sz val="12"/>
            <rFont val="Tahoma"/>
            <family val="2"/>
          </rPr>
          <t>June, 10</t>
        </r>
      </text>
    </commen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June, 10</t>
        </r>
      </text>
    </comment>
  </commentList>
</comments>
</file>

<file path=xl/sharedStrings.xml><?xml version="1.0" encoding="utf-8"?>
<sst xmlns="http://schemas.openxmlformats.org/spreadsheetml/2006/main" count="392" uniqueCount="145">
  <si>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</si>
  <si>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</si>
  <si>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</si>
  <si>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</si>
  <si>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</si>
  <si>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</si>
  <si>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</si>
  <si>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</si>
  <si>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</si>
  <si>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</si>
  <si>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</si>
  <si>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</si>
  <si>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</si>
  <si>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</si>
  <si>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</si>
  <si>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</si>
  <si>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</si>
  <si>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</si>
  <si>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</si>
  <si>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</si>
  <si>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</si>
  <si>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</si>
  <si>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</si>
  <si>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</si>
  <si>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</si>
  <si>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</si>
  <si>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</si>
  <si>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</si>
  <si>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</si>
  <si>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</si>
  <si>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</si>
  <si>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</si>
  <si>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</si>
  <si>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</si>
  <si>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</si>
  <si>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</si>
  <si>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</si>
  <si>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</si>
  <si>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</si>
  <si>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(Rs. in lakh)</t>
  </si>
  <si>
    <t>Name of the Block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</si>
  <si>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</si>
  <si>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</si>
  <si>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</si>
  <si>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</si>
  <si>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</si>
  <si>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</si>
  <si>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</si>
  <si>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</si>
  <si>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</si>
  <si>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</si>
  <si>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</si>
  <si>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</si>
  <si>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</si>
  <si>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</si>
  <si>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</si>
  <si>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</si>
  <si>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</si>
  <si>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</si>
  <si>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</si>
  <si>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</si>
  <si>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</si>
  <si>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</si>
  <si>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</si>
  <si>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</si>
  <si>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</si>
  <si>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</si>
  <si>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</si>
  <si>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</si>
  <si>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</si>
  <si>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</si>
  <si>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</si>
  <si>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</si>
  <si>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</si>
  <si>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</si>
  <si>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</si>
  <si>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</si>
  <si>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</si>
  <si>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</si>
  <si>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</si>
  <si>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</si>
  <si>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</si>
  <si>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</si>
  <si>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</si>
  <si>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</si>
  <si>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</si>
  <si>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</si>
  <si>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</si>
  <si>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</si>
  <si>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</si>
  <si>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</si>
  <si>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</si>
  <si>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</si>
  <si>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</si>
  <si>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</si>
  <si>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</si>
  <si>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</si>
  <si>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</si>
  <si>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</si>
  <si>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</si>
  <si>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</si>
  <si>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</si>
  <si>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</si>
  <si>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</si>
  <si>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</si>
  <si>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</si>
  <si>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</si>
  <si>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</si>
  <si>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</si>
  <si>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</si>
  <si>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</si>
  <si>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</si>
  <si>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</si>
  <si>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</si>
  <si>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</si>
  <si>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</si>
  <si>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</si>
  <si>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</si>
  <si>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</si>
  <si>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</si>
  <si>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</si>
  <si>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</si>
  <si>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</si>
  <si>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</si>
  <si>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</si>
  <si>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</si>
  <si>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</si>
  <si>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</si>
  <si>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</si>
  <si>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</si>
  <si>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</si>
  <si>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</si>
  <si>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Expenditure up to prev. months</t>
  </si>
  <si>
    <t>expenditure during the month</t>
  </si>
  <si>
    <t>District Programme Coordinator</t>
  </si>
  <si>
    <t>MGNREGS, Jalpaiguri</t>
  </si>
  <si>
    <t>District Magistrate</t>
  </si>
  <si>
    <t>Actual O.B. as on 01.04.10</t>
  </si>
  <si>
    <t>The Mahatma Gandhi National Rural Employment Gurantee Act (M.G.N.R.E.G.A.)</t>
  </si>
  <si>
    <t>Employment Generation Report for the month of October' 2010</t>
  </si>
  <si>
    <t>Financial Performance Under NREGA During the year 2010-11 Up to the Month of October' 2010</t>
  </si>
  <si>
    <t>Physical Performance Under NREGA During the year 2010-11 Up to the Month of October' 2010</t>
  </si>
  <si>
    <t>Transparency Report Under NREGA During the year 2010-11 Up to the Month of October' 2010</t>
  </si>
  <si>
    <t>FORMAT FOR MONTHLY PROGRESS REPORT - V-A (Capacity Building - Personnel Report for the Month of October' 2010)</t>
  </si>
  <si>
    <t>FORMAT FOR MONTHLY PROGRESS REPORT - V-B (Capacity Building - Training Report for the Month of October' 2010)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</si>
</sst>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%"/>
  </numFmts>
  <fonts count="123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22"/>
      <name val="Cooper BlkItHd BT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9" borderId="0" applyNumberFormat="0" applyBorder="0" applyAlignment="0" applyProtection="0"/>
    <xf numFmtId="0" fontId="108" fillId="3" borderId="0" applyNumberFormat="0" applyBorder="0" applyAlignment="0" applyProtection="0"/>
    <xf numFmtId="0" fontId="109" fillId="20" borderId="1" applyNumberFormat="0" applyAlignment="0" applyProtection="0"/>
    <xf numFmtId="0" fontId="1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2" fillId="4" borderId="0" applyNumberFormat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6" fillId="7" borderId="1" applyNumberFormat="0" applyAlignment="0" applyProtection="0"/>
    <xf numFmtId="0" fontId="117" fillId="0" borderId="6" applyNumberFormat="0" applyFill="0" applyAlignment="0" applyProtection="0"/>
    <xf numFmtId="0" fontId="1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19" fillId="20" borderId="8" applyNumberFormat="0" applyAlignment="0" applyProtection="0"/>
    <xf numFmtId="9" fontId="0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05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2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2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2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2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2" fontId="13" fillId="0" borderId="0" xfId="57" applyNumberFormat="1" applyFont="1">
      <alignment/>
      <protection/>
    </xf>
    <xf numFmtId="172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54" fillId="0" borderId="10" xfId="58" applyFont="1" applyBorder="1" applyAlignment="1">
      <alignment horizontal="right" vertical="center"/>
      <protection/>
    </xf>
    <xf numFmtId="0" fontId="54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57" fillId="0" borderId="0" xfId="0" applyFont="1" applyAlignment="1">
      <alignment/>
    </xf>
    <xf numFmtId="0" fontId="58" fillId="0" borderId="0" xfId="57" applyFont="1" applyAlignment="1">
      <alignment horizontal="right"/>
      <protection/>
    </xf>
    <xf numFmtId="0" fontId="54" fillId="0" borderId="10" xfId="58" applyFont="1" applyFill="1" applyBorder="1" applyAlignment="1">
      <alignment horizontal="right" vertical="center"/>
      <protection/>
    </xf>
    <xf numFmtId="0" fontId="54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61" fillId="0" borderId="0" xfId="61" applyFont="1">
      <alignment/>
      <protection/>
    </xf>
    <xf numFmtId="0" fontId="12" fillId="0" borderId="0" xfId="61" applyFont="1" applyAlignment="1">
      <alignment/>
      <protection/>
    </xf>
    <xf numFmtId="0" fontId="62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63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64" fillId="0" borderId="0" xfId="61" applyFont="1">
      <alignment/>
      <protection/>
    </xf>
    <xf numFmtId="0" fontId="65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4" fillId="0" borderId="0" xfId="60">
      <alignment/>
      <protection/>
    </xf>
    <xf numFmtId="0" fontId="69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70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71" fillId="0" borderId="10" xfId="60" applyFont="1" applyBorder="1" applyAlignment="1">
      <alignment horizontal="center" vertical="center"/>
      <protection/>
    </xf>
    <xf numFmtId="0" fontId="72" fillId="7" borderId="10" xfId="60" applyFont="1" applyFill="1" applyBorder="1" applyAlignment="1">
      <alignment horizontal="center" vertical="center"/>
      <protection/>
    </xf>
    <xf numFmtId="0" fontId="72" fillId="25" borderId="10" xfId="60" applyFont="1" applyFill="1" applyBorder="1" applyAlignment="1">
      <alignment horizontal="center" vertical="center"/>
      <protection/>
    </xf>
    <xf numFmtId="0" fontId="72" fillId="0" borderId="10" xfId="60" applyFont="1" applyFill="1" applyBorder="1" applyAlignment="1">
      <alignment horizontal="center" vertical="center"/>
      <protection/>
    </xf>
    <xf numFmtId="0" fontId="72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54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73" fillId="0" borderId="10" xfId="60" applyFont="1" applyBorder="1" applyAlignment="1">
      <alignment horizontal="center" vertical="center" wrapText="1"/>
      <protection/>
    </xf>
    <xf numFmtId="0" fontId="74" fillId="4" borderId="10" xfId="60" applyFont="1" applyFill="1" applyBorder="1" applyAlignment="1">
      <alignment horizontal="center" vertical="center" textRotation="90" wrapText="1"/>
      <protection/>
    </xf>
    <xf numFmtId="0" fontId="74" fillId="0" borderId="10" xfId="60" applyFont="1" applyBorder="1" applyAlignment="1">
      <alignment horizontal="center" vertical="center" textRotation="90" wrapText="1"/>
      <protection/>
    </xf>
    <xf numFmtId="0" fontId="74" fillId="24" borderId="10" xfId="60" applyFont="1" applyFill="1" applyBorder="1" applyAlignment="1">
      <alignment horizontal="center" vertical="center" textRotation="90" wrapText="1"/>
      <protection/>
    </xf>
    <xf numFmtId="0" fontId="74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72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7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2" fontId="15" fillId="0" borderId="10" xfId="57" applyNumberFormat="1" applyFont="1" applyBorder="1" applyAlignment="1">
      <alignment horizontal="right" wrapText="1"/>
      <protection/>
    </xf>
    <xf numFmtId="172" fontId="76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2" fontId="13" fillId="22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2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4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68" fillId="0" borderId="0" xfId="0" applyFont="1" applyAlignment="1">
      <alignment horizontal="center"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80" fillId="0" borderId="10" xfId="57" applyFont="1" applyFill="1" applyBorder="1" applyAlignment="1">
      <alignment horizontal="center" vertical="center" wrapText="1"/>
      <protection/>
    </xf>
    <xf numFmtId="0" fontId="81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173" fontId="78" fillId="0" borderId="10" xfId="0" applyNumberFormat="1" applyFont="1" applyFill="1" applyBorder="1" applyAlignment="1">
      <alignment vertical="center" wrapText="1"/>
    </xf>
    <xf numFmtId="1" fontId="78" fillId="0" borderId="10" xfId="0" applyNumberFormat="1" applyFont="1" applyFill="1" applyBorder="1" applyAlignment="1">
      <alignment vertical="center" wrapText="1"/>
    </xf>
    <xf numFmtId="1" fontId="55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2" fontId="13" fillId="0" borderId="0" xfId="57" applyNumberFormat="1" applyFont="1" applyAlignment="1">
      <alignment wrapText="1"/>
      <protection/>
    </xf>
    <xf numFmtId="0" fontId="54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82" fillId="0" borderId="12" xfId="57" applyFont="1" applyBorder="1" applyAlignment="1">
      <alignment vertical="center" wrapText="1"/>
      <protection/>
    </xf>
    <xf numFmtId="0" fontId="83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72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76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5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5" fontId="8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3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60" fillId="0" borderId="0" xfId="0" applyFont="1" applyAlignment="1">
      <alignment wrapText="1"/>
    </xf>
    <xf numFmtId="0" fontId="60" fillId="0" borderId="0" xfId="0" applyFont="1" applyAlignment="1">
      <alignment horizontal="center" wrapText="1"/>
    </xf>
    <xf numFmtId="10" fontId="60" fillId="0" borderId="10" xfId="65" applyNumberFormat="1" applyFont="1" applyFill="1" applyBorder="1" applyAlignment="1">
      <alignment vertical="center" wrapText="1"/>
    </xf>
    <xf numFmtId="1" fontId="57" fillId="0" borderId="0" xfId="0" applyNumberFormat="1" applyFont="1" applyAlignment="1">
      <alignment/>
    </xf>
    <xf numFmtId="0" fontId="77" fillId="0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right" vertical="center" wrapText="1"/>
    </xf>
    <xf numFmtId="0" fontId="88" fillId="0" borderId="10" xfId="0" applyFont="1" applyFill="1" applyBorder="1" applyAlignment="1">
      <alignment vertical="center" wrapText="1"/>
    </xf>
    <xf numFmtId="1" fontId="88" fillId="0" borderId="10" xfId="0" applyNumberFormat="1" applyFont="1" applyFill="1" applyBorder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88" fillId="0" borderId="10" xfId="0" applyFont="1" applyFill="1" applyBorder="1" applyAlignment="1">
      <alignment horizontal="right" vertical="center"/>
    </xf>
    <xf numFmtId="0" fontId="79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2" fontId="13" fillId="7" borderId="0" xfId="57" applyNumberFormat="1" applyFont="1" applyFill="1" applyBorder="1" applyAlignment="1">
      <alignment horizontal="right" wrapText="1"/>
      <protection/>
    </xf>
    <xf numFmtId="172" fontId="76" fillId="0" borderId="0" xfId="57" applyNumberFormat="1" applyFont="1" applyBorder="1" applyAlignment="1">
      <alignment horizontal="right" wrapText="1"/>
      <protection/>
    </xf>
    <xf numFmtId="172" fontId="13" fillId="22" borderId="0" xfId="57" applyNumberFormat="1" applyFont="1" applyFill="1" applyBorder="1" applyAlignment="1">
      <alignment horizontal="right" wrapText="1"/>
      <protection/>
    </xf>
    <xf numFmtId="172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89" fillId="0" borderId="0" xfId="0" applyNumberFormat="1" applyFont="1" applyAlignment="1">
      <alignment wrapText="1"/>
    </xf>
    <xf numFmtId="0" fontId="89" fillId="0" borderId="0" xfId="0" applyFont="1" applyAlignment="1">
      <alignment wrapText="1"/>
    </xf>
    <xf numFmtId="0" fontId="90" fillId="0" borderId="0" xfId="0" applyFont="1" applyAlignment="1">
      <alignment wrapText="1"/>
    </xf>
    <xf numFmtId="1" fontId="89" fillId="0" borderId="0" xfId="0" applyNumberFormat="1" applyFont="1" applyAlignment="1">
      <alignment horizontal="right" wrapText="1"/>
    </xf>
    <xf numFmtId="10" fontId="90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173" fontId="1" fillId="0" borderId="0" xfId="0" applyNumberFormat="1" applyFont="1" applyAlignment="1">
      <alignment vertical="center" wrapText="1"/>
    </xf>
    <xf numFmtId="2" fontId="89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83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9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92" fillId="0" borderId="10" xfId="0" applyNumberFormat="1" applyFont="1" applyFill="1" applyBorder="1" applyAlignment="1">
      <alignment vertical="center" wrapText="1"/>
    </xf>
    <xf numFmtId="9" fontId="93" fillId="0" borderId="10" xfId="65" applyFont="1" applyFill="1" applyBorder="1" applyAlignment="1">
      <alignment vertical="center" wrapText="1"/>
    </xf>
    <xf numFmtId="10" fontId="95" fillId="0" borderId="10" xfId="65" applyNumberFormat="1" applyFont="1" applyFill="1" applyBorder="1" applyAlignment="1">
      <alignment vertical="center" wrapText="1"/>
    </xf>
    <xf numFmtId="2" fontId="94" fillId="11" borderId="10" xfId="0" applyNumberFormat="1" applyFont="1" applyFill="1" applyBorder="1" applyAlignment="1">
      <alignment vertical="center" wrapText="1"/>
    </xf>
    <xf numFmtId="0" fontId="77" fillId="26" borderId="10" xfId="0" applyFont="1" applyFill="1" applyBorder="1" applyAlignment="1">
      <alignment vertical="center" wrapText="1"/>
    </xf>
    <xf numFmtId="1" fontId="88" fillId="26" borderId="10" xfId="0" applyNumberFormat="1" applyFont="1" applyFill="1" applyBorder="1" applyAlignment="1">
      <alignment vertical="center" wrapText="1"/>
    </xf>
    <xf numFmtId="0" fontId="80" fillId="26" borderId="10" xfId="57" applyFont="1" applyFill="1" applyBorder="1" applyAlignment="1">
      <alignment horizontal="center" vertical="center" wrapText="1"/>
      <protection/>
    </xf>
    <xf numFmtId="10" fontId="60" fillId="0" borderId="0" xfId="65" applyNumberFormat="1" applyFont="1" applyFill="1" applyAlignment="1">
      <alignment vertical="center" wrapText="1"/>
    </xf>
    <xf numFmtId="173" fontId="60" fillId="0" borderId="0" xfId="0" applyNumberFormat="1" applyFont="1" applyFill="1" applyAlignment="1">
      <alignment vertical="center" wrapText="1"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74" fontId="8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2" fontId="88" fillId="0" borderId="10" xfId="0" applyNumberFormat="1" applyFont="1" applyFill="1" applyBorder="1" applyAlignment="1">
      <alignment horizontal="right" vertical="center" wrapText="1"/>
    </xf>
    <xf numFmtId="172" fontId="77" fillId="0" borderId="10" xfId="0" applyNumberFormat="1" applyFont="1" applyFill="1" applyBorder="1" applyAlignment="1">
      <alignment horizontal="right" vertical="center" wrapText="1"/>
    </xf>
    <xf numFmtId="172" fontId="88" fillId="0" borderId="10" xfId="0" applyNumberFormat="1" applyFont="1" applyFill="1" applyBorder="1" applyAlignment="1">
      <alignment vertical="center" wrapText="1"/>
    </xf>
    <xf numFmtId="172" fontId="61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96" fillId="26" borderId="10" xfId="0" applyFont="1" applyFill="1" applyBorder="1" applyAlignment="1">
      <alignment horizontal="center" vertical="center" wrapText="1"/>
    </xf>
    <xf numFmtId="0" fontId="55" fillId="11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9" fontId="93" fillId="0" borderId="0" xfId="65" applyFont="1" applyFill="1" applyBorder="1" applyAlignment="1">
      <alignment vertical="center" wrapText="1"/>
    </xf>
    <xf numFmtId="10" fontId="95" fillId="0" borderId="0" xfId="65" applyNumberFormat="1" applyFont="1" applyFill="1" applyBorder="1" applyAlignment="1">
      <alignment vertical="center" wrapText="1"/>
    </xf>
    <xf numFmtId="10" fontId="90" fillId="0" borderId="0" xfId="65" applyNumberFormat="1" applyFont="1" applyFill="1" applyBorder="1" applyAlignment="1">
      <alignment vertical="center" wrapText="1"/>
    </xf>
    <xf numFmtId="10" fontId="60" fillId="0" borderId="0" xfId="65" applyNumberFormat="1" applyFont="1" applyFill="1" applyBorder="1" applyAlignment="1">
      <alignment vertical="center" wrapText="1"/>
    </xf>
    <xf numFmtId="10" fontId="13" fillId="0" borderId="0" xfId="65" applyNumberFormat="1" applyFont="1" applyAlignment="1">
      <alignment/>
    </xf>
    <xf numFmtId="0" fontId="78" fillId="0" borderId="15" xfId="0" applyFont="1" applyFill="1" applyBorder="1" applyAlignment="1">
      <alignment vertical="center" wrapText="1"/>
    </xf>
    <xf numFmtId="0" fontId="89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7" fillId="0" borderId="15" xfId="0" applyFont="1" applyFill="1" applyBorder="1" applyAlignment="1">
      <alignment horizontal="center" vertical="center"/>
    </xf>
    <xf numFmtId="0" fontId="77" fillId="26" borderId="14" xfId="0" applyFont="1" applyFill="1" applyBorder="1" applyAlignment="1">
      <alignment vertical="center" wrapText="1"/>
    </xf>
    <xf numFmtId="1" fontId="36" fillId="26" borderId="10" xfId="0" applyNumberFormat="1" applyFont="1" applyFill="1" applyBorder="1" applyAlignment="1">
      <alignment horizontal="right" vertical="center"/>
    </xf>
    <xf numFmtId="1" fontId="105" fillId="0" borderId="0" xfId="0" applyNumberFormat="1" applyFont="1" applyAlignment="1">
      <alignment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2" fontId="13" fillId="0" borderId="0" xfId="57" applyNumberFormat="1" applyFont="1">
      <alignment/>
      <protection/>
    </xf>
    <xf numFmtId="0" fontId="13" fillId="0" borderId="10" xfId="57" applyFont="1" applyFill="1" applyBorder="1" applyAlignment="1">
      <alignment horizontal="center" vertical="center"/>
      <protection/>
    </xf>
    <xf numFmtId="0" fontId="13" fillId="0" borderId="10" xfId="57" applyFont="1" applyFill="1" applyBorder="1" applyAlignment="1">
      <alignment horizontal="left" vertical="center"/>
      <protection/>
    </xf>
    <xf numFmtId="172" fontId="21" fillId="0" borderId="0" xfId="57" applyNumberFormat="1" applyFont="1">
      <alignment/>
      <protection/>
    </xf>
    <xf numFmtId="0" fontId="77" fillId="0" borderId="17" xfId="0" applyFont="1" applyFill="1" applyBorder="1" applyAlignment="1">
      <alignment horizontal="left" vertical="center"/>
    </xf>
    <xf numFmtId="0" fontId="88" fillId="0" borderId="17" xfId="0" applyFont="1" applyFill="1" applyBorder="1" applyAlignment="1">
      <alignment horizontal="right" vertical="center"/>
    </xf>
    <xf numFmtId="0" fontId="88" fillId="0" borderId="17" xfId="0" applyFont="1" applyFill="1" applyBorder="1" applyAlignment="1">
      <alignment horizontal="right" vertical="center" wrapText="1"/>
    </xf>
    <xf numFmtId="0" fontId="77" fillId="0" borderId="17" xfId="0" applyFont="1" applyFill="1" applyBorder="1" applyAlignment="1">
      <alignment vertical="center" wrapText="1"/>
    </xf>
    <xf numFmtId="0" fontId="88" fillId="0" borderId="17" xfId="0" applyFont="1" applyFill="1" applyBorder="1" applyAlignment="1">
      <alignment vertical="center" wrapText="1"/>
    </xf>
    <xf numFmtId="0" fontId="104" fillId="0" borderId="12" xfId="57" applyFont="1" applyBorder="1" applyAlignment="1">
      <alignment vertical="center" wrapText="1"/>
      <protection/>
    </xf>
    <xf numFmtId="1" fontId="8" fillId="0" borderId="0" xfId="61" applyNumberFormat="1" applyFont="1" applyBorder="1">
      <alignment/>
      <protection/>
    </xf>
    <xf numFmtId="10" fontId="18" fillId="0" borderId="0" xfId="65" applyNumberFormat="1" applyFont="1" applyBorder="1" applyAlignment="1">
      <alignment horizontal="center"/>
    </xf>
    <xf numFmtId="0" fontId="68" fillId="0" borderId="0" xfId="0" applyFont="1" applyAlignment="1">
      <alignment horizontal="right"/>
    </xf>
    <xf numFmtId="0" fontId="104" fillId="0" borderId="0" xfId="57" applyFont="1" applyAlignment="1">
      <alignment vertical="center"/>
      <protection/>
    </xf>
    <xf numFmtId="1" fontId="28" fillId="0" borderId="18" xfId="57" applyNumberFormat="1" applyFont="1" applyFill="1" applyBorder="1" applyAlignment="1">
      <alignment vertical="center"/>
      <protection/>
    </xf>
    <xf numFmtId="172" fontId="60" fillId="0" borderId="0" xfId="0" applyNumberFormat="1" applyFont="1" applyFill="1" applyAlignment="1">
      <alignment vertical="center" wrapText="1"/>
    </xf>
    <xf numFmtId="1" fontId="6" fillId="0" borderId="0" xfId="61" applyNumberFormat="1" applyFont="1" applyBorder="1">
      <alignment/>
      <protection/>
    </xf>
    <xf numFmtId="1" fontId="85" fillId="0" borderId="0" xfId="61" applyNumberFormat="1" applyFont="1" applyBorder="1" applyAlignment="1">
      <alignment/>
      <protection/>
    </xf>
    <xf numFmtId="1" fontId="68" fillId="0" borderId="0" xfId="61" applyNumberFormat="1" applyFont="1" applyBorder="1" applyAlignment="1">
      <alignment/>
      <protection/>
    </xf>
    <xf numFmtId="1" fontId="15" fillId="0" borderId="0" xfId="61" applyNumberFormat="1" applyFont="1" applyBorder="1" applyAlignment="1">
      <alignment horizontal="center"/>
      <protection/>
    </xf>
    <xf numFmtId="0" fontId="21" fillId="0" borderId="0" xfId="57" applyFont="1">
      <alignment/>
      <protection/>
    </xf>
    <xf numFmtId="172" fontId="21" fillId="0" borderId="0" xfId="57" applyNumberFormat="1" applyFont="1">
      <alignment/>
      <protection/>
    </xf>
    <xf numFmtId="0" fontId="13" fillId="0" borderId="0" xfId="57" applyFont="1">
      <alignment/>
      <protection/>
    </xf>
    <xf numFmtId="2" fontId="8" fillId="0" borderId="0" xfId="61" applyNumberFormat="1" applyFont="1" applyBorder="1" applyAlignment="1">
      <alignment vertical="center"/>
      <protection/>
    </xf>
    <xf numFmtId="2" fontId="6" fillId="0" borderId="0" xfId="61" applyNumberFormat="1" applyFont="1" applyBorder="1" applyAlignment="1">
      <alignment vertical="center"/>
      <protection/>
    </xf>
    <xf numFmtId="2" fontId="13" fillId="0" borderId="0" xfId="61" applyNumberFormat="1" applyFont="1" applyBorder="1" applyAlignment="1">
      <alignment horizontal="center" vertical="center"/>
      <protection/>
    </xf>
    <xf numFmtId="2" fontId="18" fillId="0" borderId="0" xfId="61" applyNumberFormat="1" applyFont="1" applyBorder="1" applyAlignment="1">
      <alignment horizontal="center" vertical="center"/>
      <protection/>
    </xf>
    <xf numFmtId="2" fontId="8" fillId="0" borderId="0" xfId="61" applyNumberFormat="1" applyFont="1">
      <alignment/>
      <protection/>
    </xf>
    <xf numFmtId="2" fontId="8" fillId="0" borderId="0" xfId="61" applyNumberFormat="1" applyFont="1" applyAlignment="1">
      <alignment/>
      <protection/>
    </xf>
    <xf numFmtId="2" fontId="18" fillId="0" borderId="0" xfId="61" applyNumberFormat="1" applyFont="1" applyAlignment="1">
      <alignment/>
      <protection/>
    </xf>
    <xf numFmtId="2" fontId="68" fillId="0" borderId="0" xfId="61" applyNumberFormat="1" applyFont="1" applyAlignment="1">
      <alignment/>
      <protection/>
    </xf>
    <xf numFmtId="172" fontId="12" fillId="0" borderId="0" xfId="61" applyNumberFormat="1" applyFont="1" applyAlignment="1">
      <alignment horizontal="center" vertical="center" textRotation="90"/>
      <protection/>
    </xf>
    <xf numFmtId="2" fontId="8" fillId="0" borderId="0" xfId="61" applyNumberFormat="1" applyFont="1" applyBorder="1">
      <alignment/>
      <protection/>
    </xf>
    <xf numFmtId="0" fontId="3" fillId="0" borderId="10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87" fillId="2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20" xfId="0" applyFont="1" applyBorder="1" applyAlignment="1">
      <alignment horizontal="right" wrapText="1"/>
    </xf>
    <xf numFmtId="0" fontId="59" fillId="0" borderId="10" xfId="0" applyFont="1" applyBorder="1" applyAlignment="1">
      <alignment horizontal="center" vertical="center" wrapText="1"/>
    </xf>
    <xf numFmtId="0" fontId="56" fillId="11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59" fillId="0" borderId="17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6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26" borderId="16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79" fillId="0" borderId="0" xfId="57" applyFont="1" applyAlignment="1">
      <alignment horizontal="right"/>
      <protection/>
    </xf>
    <xf numFmtId="0" fontId="103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6" fillId="0" borderId="21" xfId="57" applyFont="1" applyFill="1" applyBorder="1" applyAlignment="1">
      <alignment horizontal="center" vertical="center" wrapText="1"/>
      <protection/>
    </xf>
    <xf numFmtId="0" fontId="16" fillId="0" borderId="22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6" xfId="57" applyFont="1" applyFill="1" applyBorder="1" applyAlignment="1">
      <alignment horizontal="center" vertical="center" wrapText="1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72" fontId="106" fillId="0" borderId="15" xfId="0" applyNumberFormat="1" applyFont="1" applyBorder="1" applyAlignment="1">
      <alignment horizontal="right"/>
    </xf>
    <xf numFmtId="172" fontId="106" fillId="0" borderId="14" xfId="0" applyNumberFormat="1" applyFont="1" applyBorder="1" applyAlignment="1">
      <alignment horizontal="right"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6" fillId="0" borderId="17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66" fillId="0" borderId="0" xfId="61" applyFont="1" applyFill="1" applyBorder="1" applyAlignment="1">
      <alignment horizontal="center"/>
      <protection/>
    </xf>
    <xf numFmtId="0" fontId="66" fillId="0" borderId="0" xfId="61" applyFont="1" applyBorder="1" applyAlignment="1">
      <alignment horizontal="center"/>
      <protection/>
    </xf>
    <xf numFmtId="0" fontId="20" fillId="0" borderId="17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21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66" fillId="0" borderId="20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19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19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  <xf numFmtId="0" fontId="84" fillId="0" borderId="17" xfId="60" applyFont="1" applyBorder="1" applyAlignment="1">
      <alignment horizontal="center" vertical="center" wrapText="1"/>
      <protection/>
    </xf>
    <xf numFmtId="0" fontId="84" fillId="0" borderId="18" xfId="60" applyFont="1" applyBorder="1" applyAlignment="1">
      <alignment horizontal="center" vertical="center" wrapText="1"/>
      <protection/>
    </xf>
    <xf numFmtId="0" fontId="84" fillId="0" borderId="16" xfId="60" applyFont="1" applyBorder="1" applyAlignment="1">
      <alignment horizontal="center" vertical="center" wrapText="1"/>
      <protection/>
    </xf>
    <xf numFmtId="0" fontId="40" fillId="0" borderId="17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7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1</xdr:col>
      <xdr:colOff>828675</xdr:colOff>
      <xdr:row>6</xdr:row>
      <xdr:rowOff>180975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9810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5"/>
  <sheetViews>
    <sheetView view="pageBreakPreview" zoomScale="70" zoomScaleNormal="70" zoomScaleSheetLayoutView="70" zoomScalePageLayoutView="0" workbookViewId="0" topLeftCell="C4">
      <selection activeCell="W26" sqref="W26"/>
    </sheetView>
  </sheetViews>
  <sheetFormatPr defaultColWidth="9.140625" defaultRowHeight="15"/>
  <cols>
    <col min="1" max="1" width="4.57421875" style="1" customWidth="1"/>
    <col min="2" max="2" width="17.28125" style="1" customWidth="1"/>
    <col min="3" max="3" width="8.7109375" style="1" customWidth="1"/>
    <col min="4" max="7" width="9.00390625" style="1" customWidth="1"/>
    <col min="8" max="8" width="11.421875" style="1" customWidth="1"/>
    <col min="9" max="9" width="11.57421875" style="202" customWidth="1"/>
    <col min="10" max="10" width="11.8515625" style="1" customWidth="1"/>
    <col min="11" max="11" width="10.140625" style="1" customWidth="1"/>
    <col min="12" max="12" width="10.8515625" style="202" customWidth="1"/>
    <col min="13" max="13" width="9.57421875" style="1" customWidth="1"/>
    <col min="14" max="14" width="9.7109375" style="1" customWidth="1"/>
    <col min="15" max="15" width="9.421875" style="1" customWidth="1"/>
    <col min="16" max="16" width="9.57421875" style="1" customWidth="1"/>
    <col min="17" max="17" width="9.421875" style="1" customWidth="1"/>
    <col min="18" max="19" width="8.8515625" style="1" customWidth="1"/>
    <col min="20" max="20" width="8.7109375" style="1" customWidth="1"/>
    <col min="21" max="21" width="8.140625" style="1" customWidth="1"/>
    <col min="22" max="22" width="9.140625" style="1" customWidth="1"/>
    <col min="23" max="23" width="11.57421875" style="1" bestFit="1" customWidth="1"/>
    <col min="24" max="28" width="11.57421875" style="1" hidden="1" customWidth="1"/>
    <col min="29" max="30" width="9.140625" style="1" customWidth="1"/>
    <col min="31" max="37" width="9.140625" style="1" hidden="1" customWidth="1"/>
    <col min="38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26"/>
      <c r="Q1" s="326"/>
      <c r="R1" s="326"/>
      <c r="S1" s="326"/>
      <c r="T1" s="2"/>
    </row>
    <row r="2" spans="1:21" s="4" customFormat="1" ht="31.5" customHeight="1">
      <c r="A2" s="327" t="s">
        <v>138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28" t="s">
        <v>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">
      <c r="A6" s="319" t="s">
        <v>139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</row>
    <row r="7" spans="1:21" ht="16.5">
      <c r="A7" s="26"/>
      <c r="T7" s="320" t="s">
        <v>21</v>
      </c>
      <c r="U7" s="320"/>
    </row>
    <row r="8" spans="1:21" s="142" customFormat="1" ht="16.5">
      <c r="A8" s="314">
        <v>1</v>
      </c>
      <c r="B8" s="314">
        <v>2</v>
      </c>
      <c r="C8" s="141"/>
      <c r="D8" s="314">
        <v>3</v>
      </c>
      <c r="E8" s="314"/>
      <c r="F8" s="314"/>
      <c r="G8" s="314"/>
      <c r="H8" s="331">
        <v>4</v>
      </c>
      <c r="I8" s="333">
        <v>5</v>
      </c>
      <c r="J8" s="314">
        <v>6</v>
      </c>
      <c r="K8" s="314">
        <v>7</v>
      </c>
      <c r="L8" s="333">
        <v>8</v>
      </c>
      <c r="M8" s="323">
        <v>9</v>
      </c>
      <c r="N8" s="324"/>
      <c r="O8" s="324"/>
      <c r="P8" s="324"/>
      <c r="Q8" s="325"/>
      <c r="R8" s="236"/>
      <c r="S8" s="314">
        <v>10</v>
      </c>
      <c r="T8" s="314">
        <v>11</v>
      </c>
      <c r="U8" s="314">
        <v>12</v>
      </c>
    </row>
    <row r="9" spans="1:21" s="142" customFormat="1" ht="16.5">
      <c r="A9" s="314"/>
      <c r="B9" s="314"/>
      <c r="C9" s="141"/>
      <c r="D9" s="141" t="s">
        <v>16</v>
      </c>
      <c r="E9" s="141" t="s">
        <v>17</v>
      </c>
      <c r="F9" s="141" t="s">
        <v>18</v>
      </c>
      <c r="G9" s="141" t="s">
        <v>19</v>
      </c>
      <c r="H9" s="332"/>
      <c r="I9" s="333">
        <v>5</v>
      </c>
      <c r="J9" s="314">
        <v>6</v>
      </c>
      <c r="K9" s="314">
        <v>7</v>
      </c>
      <c r="L9" s="333">
        <v>8</v>
      </c>
      <c r="M9" s="141" t="s">
        <v>16</v>
      </c>
      <c r="N9" s="141" t="s">
        <v>17</v>
      </c>
      <c r="O9" s="141" t="s">
        <v>18</v>
      </c>
      <c r="P9" s="141" t="s">
        <v>19</v>
      </c>
      <c r="Q9" s="141" t="s">
        <v>20</v>
      </c>
      <c r="R9" s="141"/>
      <c r="S9" s="314"/>
      <c r="T9" s="314"/>
      <c r="U9" s="314"/>
    </row>
    <row r="10" spans="1:28" s="44" customFormat="1" ht="57" customHeight="1">
      <c r="A10" s="321" t="s">
        <v>0</v>
      </c>
      <c r="B10" s="321" t="s">
        <v>22</v>
      </c>
      <c r="C10" s="329" t="s">
        <v>105</v>
      </c>
      <c r="D10" s="321" t="s">
        <v>1</v>
      </c>
      <c r="E10" s="321"/>
      <c r="F10" s="321"/>
      <c r="G10" s="321"/>
      <c r="H10" s="329" t="s">
        <v>6</v>
      </c>
      <c r="I10" s="318" t="s">
        <v>7</v>
      </c>
      <c r="J10" s="321" t="s">
        <v>8</v>
      </c>
      <c r="K10" s="321" t="s">
        <v>9</v>
      </c>
      <c r="L10" s="318" t="s">
        <v>10</v>
      </c>
      <c r="M10" s="315" t="s">
        <v>11</v>
      </c>
      <c r="N10" s="316"/>
      <c r="O10" s="316"/>
      <c r="P10" s="316"/>
      <c r="Q10" s="316"/>
      <c r="R10" s="317"/>
      <c r="S10" s="321" t="s">
        <v>13</v>
      </c>
      <c r="T10" s="321" t="s">
        <v>14</v>
      </c>
      <c r="U10" s="321" t="s">
        <v>15</v>
      </c>
      <c r="V10" s="322" t="s">
        <v>107</v>
      </c>
      <c r="W10" s="321" t="s">
        <v>108</v>
      </c>
      <c r="X10" s="264"/>
      <c r="Y10" s="264"/>
      <c r="Z10" s="264"/>
      <c r="AA10" s="264"/>
      <c r="AB10" s="264"/>
    </row>
    <row r="11" spans="1:28" s="44" customFormat="1" ht="111.75" customHeight="1">
      <c r="A11" s="321"/>
      <c r="B11" s="321"/>
      <c r="C11" s="330"/>
      <c r="D11" s="43" t="s">
        <v>2</v>
      </c>
      <c r="E11" s="43" t="s">
        <v>3</v>
      </c>
      <c r="F11" s="43" t="s">
        <v>4</v>
      </c>
      <c r="G11" s="43" t="s">
        <v>5</v>
      </c>
      <c r="H11" s="330"/>
      <c r="I11" s="318"/>
      <c r="J11" s="321"/>
      <c r="K11" s="321"/>
      <c r="L11" s="318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121</v>
      </c>
      <c r="S11" s="321"/>
      <c r="T11" s="321"/>
      <c r="U11" s="321"/>
      <c r="V11" s="322"/>
      <c r="W11" s="321"/>
      <c r="X11" s="264"/>
      <c r="Y11" s="264"/>
      <c r="Z11" s="264"/>
      <c r="AA11" s="264"/>
      <c r="AB11" s="264"/>
    </row>
    <row r="12" spans="1:28" s="263" customFormat="1" ht="15.75">
      <c r="A12" s="259">
        <v>1</v>
      </c>
      <c r="B12" s="259">
        <v>2</v>
      </c>
      <c r="C12" s="260"/>
      <c r="D12" s="259" t="s">
        <v>123</v>
      </c>
      <c r="E12" s="259" t="s">
        <v>124</v>
      </c>
      <c r="F12" s="259" t="s">
        <v>125</v>
      </c>
      <c r="G12" s="259" t="s">
        <v>126</v>
      </c>
      <c r="H12" s="260">
        <v>4</v>
      </c>
      <c r="I12" s="261">
        <v>5</v>
      </c>
      <c r="J12" s="259">
        <v>6</v>
      </c>
      <c r="K12" s="259">
        <v>7</v>
      </c>
      <c r="L12" s="261">
        <v>8</v>
      </c>
      <c r="M12" s="259" t="s">
        <v>127</v>
      </c>
      <c r="N12" s="259" t="s">
        <v>128</v>
      </c>
      <c r="O12" s="259" t="s">
        <v>129</v>
      </c>
      <c r="P12" s="259" t="s">
        <v>130</v>
      </c>
      <c r="Q12" s="259" t="s">
        <v>131</v>
      </c>
      <c r="R12" s="259" t="s">
        <v>122</v>
      </c>
      <c r="S12" s="259">
        <v>10</v>
      </c>
      <c r="T12" s="259">
        <v>11</v>
      </c>
      <c r="U12" s="259">
        <v>12</v>
      </c>
      <c r="V12" s="262"/>
      <c r="W12" s="259"/>
      <c r="X12" s="265"/>
      <c r="Y12" s="265"/>
      <c r="Z12" s="265"/>
      <c r="AA12" s="265"/>
      <c r="AB12" s="265"/>
    </row>
    <row r="13" spans="1:50" s="211" customFormat="1" ht="26.25" customHeight="1">
      <c r="A13" s="206">
        <v>1</v>
      </c>
      <c r="B13" s="207" t="s">
        <v>23</v>
      </c>
      <c r="C13" s="208">
        <v>39654</v>
      </c>
      <c r="D13" s="208">
        <f>20950-285</f>
        <v>20665</v>
      </c>
      <c r="E13" s="208">
        <v>8896</v>
      </c>
      <c r="F13" s="208">
        <v>10093</v>
      </c>
      <c r="G13" s="170">
        <f aca="true" t="shared" si="0" ref="G13:G25">SUM(D13:F13)</f>
        <v>39654</v>
      </c>
      <c r="H13" s="209">
        <v>10720</v>
      </c>
      <c r="I13" s="276"/>
      <c r="J13" s="210">
        <v>10378</v>
      </c>
      <c r="K13" s="209">
        <v>5779</v>
      </c>
      <c r="L13" s="242"/>
      <c r="M13" s="253">
        <v>1.51953</v>
      </c>
      <c r="N13" s="253">
        <v>0.556</v>
      </c>
      <c r="O13" s="253">
        <v>0.50363</v>
      </c>
      <c r="P13" s="254">
        <f>SUM(M13:O13)</f>
        <v>2.57916</v>
      </c>
      <c r="Q13" s="255">
        <v>0.98478</v>
      </c>
      <c r="R13" s="255">
        <v>0.11532</v>
      </c>
      <c r="S13" s="209">
        <v>2</v>
      </c>
      <c r="T13" s="209">
        <v>1243</v>
      </c>
      <c r="U13" s="209">
        <v>23</v>
      </c>
      <c r="V13" s="237">
        <f aca="true" t="shared" si="1" ref="V13:V26">(P13*100000)/J13</f>
        <v>24.85218731932935</v>
      </c>
      <c r="W13" s="238">
        <f aca="true" t="shared" si="2" ref="W13:W26">Q13/P13</f>
        <v>0.38182198855441307</v>
      </c>
      <c r="X13" s="266">
        <f aca="true" t="shared" si="3" ref="X13:X22">Q13/P13</f>
        <v>0.38182198855441307</v>
      </c>
      <c r="Y13" s="266">
        <f aca="true" t="shared" si="4" ref="Y13:Y22">R13/O13</f>
        <v>0.22897762246093362</v>
      </c>
      <c r="Z13" s="211">
        <f>ROUND(X13*'[2]Part-I'!P12,5)</f>
        <v>0.25682</v>
      </c>
      <c r="AA13" s="211">
        <f>ROUND(Y13*'[2]Part-I'!O12,5)</f>
        <v>0.03277</v>
      </c>
      <c r="AB13" s="211">
        <v>114.88066078375068</v>
      </c>
      <c r="AV13" s="296"/>
      <c r="AW13" s="296"/>
      <c r="AX13" s="296"/>
    </row>
    <row r="14" spans="1:50" s="211" customFormat="1" ht="26.25" customHeight="1">
      <c r="A14" s="206">
        <v>2</v>
      </c>
      <c r="B14" s="207" t="s">
        <v>24</v>
      </c>
      <c r="C14" s="212">
        <v>41382</v>
      </c>
      <c r="D14" s="208">
        <v>19700</v>
      </c>
      <c r="E14" s="208">
        <v>9478</v>
      </c>
      <c r="F14" s="208">
        <v>12204</v>
      </c>
      <c r="G14" s="170">
        <f t="shared" si="0"/>
        <v>41382</v>
      </c>
      <c r="H14" s="209">
        <v>11622</v>
      </c>
      <c r="I14" s="276"/>
      <c r="J14" s="210">
        <v>9966</v>
      </c>
      <c r="K14" s="209">
        <v>1360</v>
      </c>
      <c r="L14" s="242"/>
      <c r="M14" s="253">
        <v>0.91188</v>
      </c>
      <c r="N14" s="253">
        <v>0.29942</v>
      </c>
      <c r="O14" s="253">
        <v>1.5777</v>
      </c>
      <c r="P14" s="254">
        <f aca="true" t="shared" si="5" ref="P14:P25">SUM(M14:O14)</f>
        <v>2.789</v>
      </c>
      <c r="Q14" s="255">
        <v>0.87223</v>
      </c>
      <c r="R14" s="255">
        <v>0.14178</v>
      </c>
      <c r="S14" s="209">
        <v>8</v>
      </c>
      <c r="T14" s="210">
        <v>248</v>
      </c>
      <c r="U14" s="209">
        <v>26</v>
      </c>
      <c r="V14" s="237">
        <f t="shared" si="1"/>
        <v>27.985149508328316</v>
      </c>
      <c r="W14" s="238">
        <f t="shared" si="2"/>
        <v>0.312739333094299</v>
      </c>
      <c r="X14" s="266">
        <f t="shared" si="3"/>
        <v>0.312739333094299</v>
      </c>
      <c r="Y14" s="266">
        <f t="shared" si="4"/>
        <v>0.08986499334474234</v>
      </c>
      <c r="Z14" s="211">
        <f>ROUND(X14*'[2]Part-I'!P13,5)</f>
        <v>0.37013</v>
      </c>
      <c r="AA14" s="211">
        <f>ROUND(Y14*'[2]Part-I'!O13,5)</f>
        <v>0.03295</v>
      </c>
      <c r="AB14" s="211">
        <v>146.13720952178542</v>
      </c>
      <c r="AF14" s="244"/>
      <c r="AI14" s="245"/>
      <c r="AV14" s="296"/>
      <c r="AW14" s="296"/>
      <c r="AX14" s="296"/>
    </row>
    <row r="15" spans="1:50" s="211" customFormat="1" ht="26.25" customHeight="1">
      <c r="A15" s="206">
        <v>3</v>
      </c>
      <c r="B15" s="207" t="s">
        <v>25</v>
      </c>
      <c r="C15" s="212">
        <v>76270</v>
      </c>
      <c r="D15" s="208">
        <v>38793</v>
      </c>
      <c r="E15" s="208">
        <v>16434</v>
      </c>
      <c r="F15" s="208">
        <v>21043</v>
      </c>
      <c r="G15" s="170">
        <f t="shared" si="0"/>
        <v>76270</v>
      </c>
      <c r="H15" s="209">
        <v>19525</v>
      </c>
      <c r="I15" s="276"/>
      <c r="J15" s="210">
        <v>18720</v>
      </c>
      <c r="K15" s="209">
        <v>8350</v>
      </c>
      <c r="L15" s="242"/>
      <c r="M15" s="253">
        <v>4.72445</v>
      </c>
      <c r="N15" s="253">
        <v>1.41376</v>
      </c>
      <c r="O15" s="253">
        <v>2.33612</v>
      </c>
      <c r="P15" s="254">
        <f t="shared" si="5"/>
        <v>8.47433</v>
      </c>
      <c r="Q15" s="255">
        <v>2.98874</v>
      </c>
      <c r="R15" s="255">
        <v>0.49823</v>
      </c>
      <c r="S15" s="209">
        <v>0</v>
      </c>
      <c r="T15" s="210">
        <v>897</v>
      </c>
      <c r="U15" s="209">
        <v>28</v>
      </c>
      <c r="V15" s="237">
        <f t="shared" si="1"/>
        <v>45.26885683760684</v>
      </c>
      <c r="W15" s="238">
        <f t="shared" si="2"/>
        <v>0.35268156892639296</v>
      </c>
      <c r="X15" s="266">
        <f t="shared" si="3"/>
        <v>0.35268156892639296</v>
      </c>
      <c r="Y15" s="266">
        <f t="shared" si="4"/>
        <v>0.2132724346352071</v>
      </c>
      <c r="Z15" s="211">
        <f>ROUND(X15*'[2]Part-I'!P14,5)</f>
        <v>1.09593</v>
      </c>
      <c r="AA15" s="211">
        <f>ROUND(Y15*'[2]Part-I'!O14,5)</f>
        <v>0.18765</v>
      </c>
      <c r="AB15" s="211">
        <v>99.95358654823086</v>
      </c>
      <c r="AV15" s="296"/>
      <c r="AW15" s="296"/>
      <c r="AX15" s="296"/>
    </row>
    <row r="16" spans="1:50" s="211" customFormat="1" ht="26.25" customHeight="1">
      <c r="A16" s="206">
        <v>4</v>
      </c>
      <c r="B16" s="207" t="s">
        <v>26</v>
      </c>
      <c r="C16" s="212">
        <v>48075</v>
      </c>
      <c r="D16" s="208">
        <v>22127</v>
      </c>
      <c r="E16" s="208">
        <v>9574</v>
      </c>
      <c r="F16" s="208">
        <v>16374</v>
      </c>
      <c r="G16" s="170">
        <f t="shared" si="0"/>
        <v>48075</v>
      </c>
      <c r="H16" s="209">
        <v>14571</v>
      </c>
      <c r="I16" s="276"/>
      <c r="J16" s="210">
        <v>13496</v>
      </c>
      <c r="K16" s="209">
        <v>7562</v>
      </c>
      <c r="L16" s="242"/>
      <c r="M16" s="256">
        <v>1.59012</v>
      </c>
      <c r="N16" s="256">
        <v>0.66414</v>
      </c>
      <c r="O16" s="256">
        <v>0.96977</v>
      </c>
      <c r="P16" s="254">
        <f t="shared" si="5"/>
        <v>3.22403</v>
      </c>
      <c r="Q16" s="255">
        <v>1.224553</v>
      </c>
      <c r="R16" s="255">
        <v>0.11745</v>
      </c>
      <c r="S16" s="209">
        <v>8</v>
      </c>
      <c r="T16" s="210">
        <v>1454</v>
      </c>
      <c r="U16" s="209">
        <v>35</v>
      </c>
      <c r="V16" s="237">
        <f t="shared" si="1"/>
        <v>23.888781861292234</v>
      </c>
      <c r="W16" s="238">
        <f t="shared" si="2"/>
        <v>0.37982059720287964</v>
      </c>
      <c r="X16" s="266">
        <f t="shared" si="3"/>
        <v>0.37982059720287964</v>
      </c>
      <c r="Y16" s="266">
        <f t="shared" si="4"/>
        <v>0.12111119131340421</v>
      </c>
      <c r="Z16" s="211">
        <f>ROUND(X16*'[2]Part-I'!P15,5)</f>
        <v>0.57605</v>
      </c>
      <c r="AA16" s="211">
        <f>ROUND(Y16*'[2]Part-I'!O15,5)</f>
        <v>0.049</v>
      </c>
      <c r="AB16" s="211">
        <v>103.2914458279299</v>
      </c>
      <c r="AV16" s="296"/>
      <c r="AW16" s="296"/>
      <c r="AX16" s="296"/>
    </row>
    <row r="17" spans="1:50" s="211" customFormat="1" ht="26.25" customHeight="1">
      <c r="A17" s="206">
        <v>5</v>
      </c>
      <c r="B17" s="207" t="s">
        <v>27</v>
      </c>
      <c r="C17" s="212">
        <v>54907</v>
      </c>
      <c r="D17" s="208">
        <v>8354</v>
      </c>
      <c r="E17" s="208">
        <v>31028</v>
      </c>
      <c r="F17" s="208">
        <v>15525</v>
      </c>
      <c r="G17" s="170">
        <f t="shared" si="0"/>
        <v>54907</v>
      </c>
      <c r="H17" s="209">
        <v>11881</v>
      </c>
      <c r="I17" s="276"/>
      <c r="J17" s="210">
        <v>10773</v>
      </c>
      <c r="K17" s="209">
        <v>9585</v>
      </c>
      <c r="L17" s="242"/>
      <c r="M17" s="253">
        <v>0.7367</v>
      </c>
      <c r="N17" s="253">
        <v>1.92276</v>
      </c>
      <c r="O17" s="253">
        <v>0.64424</v>
      </c>
      <c r="P17" s="254">
        <f t="shared" si="5"/>
        <v>3.3037</v>
      </c>
      <c r="Q17" s="255">
        <v>1.49224</v>
      </c>
      <c r="R17" s="255">
        <v>0.02875</v>
      </c>
      <c r="S17" s="209">
        <v>0</v>
      </c>
      <c r="T17" s="210">
        <v>2156</v>
      </c>
      <c r="U17" s="209">
        <v>15</v>
      </c>
      <c r="V17" s="237">
        <f t="shared" si="1"/>
        <v>30.666481017358212</v>
      </c>
      <c r="W17" s="238">
        <f>Q17/P17</f>
        <v>0.4516875018918183</v>
      </c>
      <c r="X17" s="266">
        <f t="shared" si="3"/>
        <v>0.4516875018918183</v>
      </c>
      <c r="Y17" s="266">
        <f t="shared" si="4"/>
        <v>0.04462622625108655</v>
      </c>
      <c r="Z17" s="211">
        <f>ROUND(X17*'[2]Part-I'!P16,5)</f>
        <v>0.27806</v>
      </c>
      <c r="AA17" s="211">
        <f>ROUND(Y17*'[2]Part-I'!O16,5)</f>
        <v>0.00979</v>
      </c>
      <c r="AB17" s="211">
        <v>123.02779834649775</v>
      </c>
      <c r="AV17" s="296"/>
      <c r="AW17" s="296"/>
      <c r="AX17" s="296"/>
    </row>
    <row r="18" spans="1:50" s="211" customFormat="1" ht="26.25" customHeight="1">
      <c r="A18" s="206">
        <v>6</v>
      </c>
      <c r="B18" s="207" t="s">
        <v>28</v>
      </c>
      <c r="C18" s="212">
        <v>38333</v>
      </c>
      <c r="D18" s="208">
        <v>15435</v>
      </c>
      <c r="E18" s="208">
        <v>13492</v>
      </c>
      <c r="F18" s="208">
        <v>9346</v>
      </c>
      <c r="G18" s="170">
        <f t="shared" si="0"/>
        <v>38273</v>
      </c>
      <c r="H18" s="209">
        <v>30277</v>
      </c>
      <c r="I18" s="276"/>
      <c r="J18" s="210">
        <v>26452</v>
      </c>
      <c r="K18" s="209">
        <v>9872</v>
      </c>
      <c r="L18" s="242"/>
      <c r="M18" s="253">
        <v>1.71997</v>
      </c>
      <c r="N18" s="253">
        <v>2.57993</v>
      </c>
      <c r="O18" s="253">
        <v>1.4333</v>
      </c>
      <c r="P18" s="254">
        <f t="shared" si="5"/>
        <v>5.7332</v>
      </c>
      <c r="Q18" s="255">
        <v>2.48678</v>
      </c>
      <c r="R18" s="255">
        <v>0.37746</v>
      </c>
      <c r="S18" s="209">
        <v>0</v>
      </c>
      <c r="T18" s="210">
        <v>5126</v>
      </c>
      <c r="U18" s="209">
        <v>278</v>
      </c>
      <c r="V18" s="237">
        <f t="shared" si="1"/>
        <v>21.67397550279752</v>
      </c>
      <c r="W18" s="238">
        <f t="shared" si="2"/>
        <v>0.43375078490197444</v>
      </c>
      <c r="X18" s="266">
        <f t="shared" si="3"/>
        <v>0.43375078490197444</v>
      </c>
      <c r="Y18" s="266">
        <f t="shared" si="4"/>
        <v>0.2633503104723366</v>
      </c>
      <c r="Z18" s="211">
        <f>ROUND(X18*'[2]Part-I'!P17,5)</f>
        <v>1.04041</v>
      </c>
      <c r="AA18" s="211">
        <f>ROUND(Y18*'[2]Part-I'!O17,5)</f>
        <v>0.15792</v>
      </c>
      <c r="AB18" s="211">
        <v>81.00002660691632</v>
      </c>
      <c r="AV18" s="296"/>
      <c r="AW18" s="296"/>
      <c r="AX18" s="296"/>
    </row>
    <row r="19" spans="1:50" s="211" customFormat="1" ht="26.25" customHeight="1">
      <c r="A19" s="206">
        <v>7</v>
      </c>
      <c r="B19" s="207" t="s">
        <v>29</v>
      </c>
      <c r="C19" s="212">
        <v>38064</v>
      </c>
      <c r="D19" s="208">
        <v>7771</v>
      </c>
      <c r="E19" s="208">
        <v>16287</v>
      </c>
      <c r="F19" s="208">
        <v>14006</v>
      </c>
      <c r="G19" s="170">
        <f t="shared" si="0"/>
        <v>38064</v>
      </c>
      <c r="H19" s="209">
        <v>12403</v>
      </c>
      <c r="I19" s="276"/>
      <c r="J19" s="210">
        <v>11843</v>
      </c>
      <c r="K19" s="209">
        <v>6411</v>
      </c>
      <c r="L19" s="242"/>
      <c r="M19" s="253">
        <v>1.12987</v>
      </c>
      <c r="N19" s="253">
        <v>1.35202</v>
      </c>
      <c r="O19" s="253">
        <v>1.46174</v>
      </c>
      <c r="P19" s="254">
        <f t="shared" si="5"/>
        <v>3.9436299999999997</v>
      </c>
      <c r="Q19" s="255">
        <v>1.97889</v>
      </c>
      <c r="R19" s="255">
        <v>0.28625</v>
      </c>
      <c r="S19" s="209">
        <v>4</v>
      </c>
      <c r="T19" s="210">
        <v>184</v>
      </c>
      <c r="U19" s="209">
        <v>127</v>
      </c>
      <c r="V19" s="237">
        <f t="shared" si="1"/>
        <v>33.299248501224355</v>
      </c>
      <c r="W19" s="238">
        <f t="shared" si="2"/>
        <v>0.5017940324016199</v>
      </c>
      <c r="X19" s="266">
        <f t="shared" si="3"/>
        <v>0.5017940324016199</v>
      </c>
      <c r="Y19" s="266">
        <f t="shared" si="4"/>
        <v>0.19582825947158866</v>
      </c>
      <c r="Z19" s="211">
        <f>ROUND(X19*'[2]Part-I'!P18,5)</f>
        <v>0.34691</v>
      </c>
      <c r="AA19" s="211">
        <f>ROUND(Y19*'[2]Part-I'!O18,5)</f>
        <v>0.03966</v>
      </c>
      <c r="AB19" s="211">
        <v>80.1581010412506</v>
      </c>
      <c r="AV19" s="296"/>
      <c r="AW19" s="296"/>
      <c r="AX19" s="296"/>
    </row>
    <row r="20" spans="1:50" s="211" customFormat="1" ht="26.25" customHeight="1">
      <c r="A20" s="206">
        <v>8</v>
      </c>
      <c r="B20" s="207" t="s">
        <v>30</v>
      </c>
      <c r="C20" s="212">
        <v>57212</v>
      </c>
      <c r="D20" s="208">
        <v>18393</v>
      </c>
      <c r="E20" s="208">
        <v>20598</v>
      </c>
      <c r="F20" s="208">
        <v>18221</v>
      </c>
      <c r="G20" s="170">
        <f t="shared" si="0"/>
        <v>57212</v>
      </c>
      <c r="H20" s="209">
        <v>7488</v>
      </c>
      <c r="I20" s="276"/>
      <c r="J20" s="210">
        <v>6467</v>
      </c>
      <c r="K20" s="209">
        <v>7116</v>
      </c>
      <c r="L20" s="242"/>
      <c r="M20" s="253">
        <v>1.54008</v>
      </c>
      <c r="N20" s="253">
        <v>1.13895</v>
      </c>
      <c r="O20" s="253">
        <v>1.38671</v>
      </c>
      <c r="P20" s="254">
        <f t="shared" si="5"/>
        <v>4.06574</v>
      </c>
      <c r="Q20" s="255">
        <v>1.7092390375043973</v>
      </c>
      <c r="R20" s="255">
        <v>0.25525</v>
      </c>
      <c r="S20" s="209">
        <v>0</v>
      </c>
      <c r="T20" s="210">
        <v>527</v>
      </c>
      <c r="U20" s="209">
        <v>71</v>
      </c>
      <c r="V20" s="237">
        <f t="shared" si="1"/>
        <v>62.86902736972321</v>
      </c>
      <c r="W20" s="238">
        <f t="shared" si="2"/>
        <v>0.42040047752792786</v>
      </c>
      <c r="X20" s="266">
        <f t="shared" si="3"/>
        <v>0.42040047752792786</v>
      </c>
      <c r="Y20" s="266">
        <f t="shared" si="4"/>
        <v>0.1840687670817979</v>
      </c>
      <c r="Z20" s="211">
        <f>ROUND(X20*'[2]Part-I'!P19,5)</f>
        <v>0.31873</v>
      </c>
      <c r="AA20" s="211">
        <f>ROUND(Y20*'[2]Part-I'!O19,5)</f>
        <v>0.04153</v>
      </c>
      <c r="AB20" s="211">
        <v>116.19724658331513</v>
      </c>
      <c r="AV20" s="296"/>
      <c r="AW20" s="296"/>
      <c r="AX20" s="296"/>
    </row>
    <row r="21" spans="1:50" s="211" customFormat="1" ht="26.25" customHeight="1">
      <c r="A21" s="206">
        <v>9</v>
      </c>
      <c r="B21" s="285" t="s">
        <v>31</v>
      </c>
      <c r="C21" s="286">
        <v>24986</v>
      </c>
      <c r="D21" s="287">
        <v>5892</v>
      </c>
      <c r="E21" s="287">
        <v>13019</v>
      </c>
      <c r="F21" s="287">
        <v>6075</v>
      </c>
      <c r="G21" s="288">
        <f t="shared" si="0"/>
        <v>24986</v>
      </c>
      <c r="H21" s="289">
        <v>8293</v>
      </c>
      <c r="I21" s="276"/>
      <c r="J21" s="210">
        <v>7699</v>
      </c>
      <c r="K21" s="209">
        <v>2212</v>
      </c>
      <c r="L21" s="242"/>
      <c r="M21" s="253">
        <v>0.49094</v>
      </c>
      <c r="N21" s="253">
        <v>0.94724</v>
      </c>
      <c r="O21" s="253">
        <v>0.46839</v>
      </c>
      <c r="P21" s="254">
        <f t="shared" si="5"/>
        <v>1.9065699999999999</v>
      </c>
      <c r="Q21" s="255">
        <v>0.98778</v>
      </c>
      <c r="R21" s="255">
        <v>0.08984</v>
      </c>
      <c r="S21" s="209">
        <v>0</v>
      </c>
      <c r="T21" s="210">
        <v>198</v>
      </c>
      <c r="U21" s="209">
        <v>56</v>
      </c>
      <c r="V21" s="237">
        <f t="shared" si="1"/>
        <v>24.76386543706975</v>
      </c>
      <c r="W21" s="238">
        <f t="shared" si="2"/>
        <v>0.5180927005040465</v>
      </c>
      <c r="X21" s="266">
        <f t="shared" si="3"/>
        <v>0.5180927005040465</v>
      </c>
      <c r="Y21" s="266">
        <f t="shared" si="4"/>
        <v>0.19180597365443328</v>
      </c>
      <c r="Z21" s="211">
        <f>ROUND(X21*'[2]Part-I'!P20,5)</f>
        <v>0.36288</v>
      </c>
      <c r="AA21" s="211">
        <f>ROUND(Y21*'[2]Part-I'!O20,5)</f>
        <v>0.02161</v>
      </c>
      <c r="AB21" s="211">
        <v>99.65172239814076</v>
      </c>
      <c r="AV21" s="296"/>
      <c r="AW21" s="296"/>
      <c r="AX21" s="296"/>
    </row>
    <row r="22" spans="1:50" s="211" customFormat="1" ht="26.25" customHeight="1">
      <c r="A22" s="274">
        <v>10</v>
      </c>
      <c r="B22" s="207" t="s">
        <v>32</v>
      </c>
      <c r="C22" s="212">
        <v>66197</v>
      </c>
      <c r="D22" s="208">
        <v>49912</v>
      </c>
      <c r="E22" s="208">
        <v>1126</v>
      </c>
      <c r="F22" s="208">
        <v>15123</v>
      </c>
      <c r="G22" s="170">
        <f t="shared" si="0"/>
        <v>66161</v>
      </c>
      <c r="H22" s="209">
        <v>14631</v>
      </c>
      <c r="I22" s="276"/>
      <c r="J22" s="210">
        <v>13491</v>
      </c>
      <c r="K22" s="209">
        <v>2911</v>
      </c>
      <c r="L22" s="242"/>
      <c r="M22" s="253">
        <v>3.57761</v>
      </c>
      <c r="N22" s="253">
        <v>0.12763</v>
      </c>
      <c r="O22" s="253">
        <v>0.80157</v>
      </c>
      <c r="P22" s="254">
        <f t="shared" si="5"/>
        <v>4.50681</v>
      </c>
      <c r="Q22" s="255">
        <v>1.79778</v>
      </c>
      <c r="R22" s="255">
        <v>0.09635</v>
      </c>
      <c r="S22" s="209">
        <v>5</v>
      </c>
      <c r="T22" s="210">
        <v>1017</v>
      </c>
      <c r="U22" s="209">
        <v>68</v>
      </c>
      <c r="V22" s="237">
        <f t="shared" si="1"/>
        <v>33.40604847676229</v>
      </c>
      <c r="W22" s="238">
        <f t="shared" si="2"/>
        <v>0.3989029934698822</v>
      </c>
      <c r="X22" s="266">
        <f t="shared" si="3"/>
        <v>0.3989029934698822</v>
      </c>
      <c r="Y22" s="266">
        <f t="shared" si="4"/>
        <v>0.12020160435146027</v>
      </c>
      <c r="Z22" s="211">
        <f>ROUND(X22*'[2]Part-I'!P21,5)</f>
        <v>0.9318</v>
      </c>
      <c r="AA22" s="211">
        <f>ROUND(Y22*'[2]Part-I'!O21,5)</f>
        <v>0.03764</v>
      </c>
      <c r="AB22" s="211">
        <v>124.17756019848444</v>
      </c>
      <c r="AV22" s="296"/>
      <c r="AW22" s="296"/>
      <c r="AX22" s="296"/>
    </row>
    <row r="23" spans="1:50" s="211" customFormat="1" ht="26.25" customHeight="1">
      <c r="A23" s="274">
        <v>11</v>
      </c>
      <c r="B23" s="207" t="s">
        <v>33</v>
      </c>
      <c r="C23" s="212">
        <v>25551</v>
      </c>
      <c r="D23" s="208">
        <v>3979</v>
      </c>
      <c r="E23" s="208">
        <v>14866</v>
      </c>
      <c r="F23" s="208">
        <v>6668</v>
      </c>
      <c r="G23" s="170">
        <f t="shared" si="0"/>
        <v>25513</v>
      </c>
      <c r="H23" s="209">
        <v>8360</v>
      </c>
      <c r="I23" s="276"/>
      <c r="J23" s="210">
        <v>7608</v>
      </c>
      <c r="K23" s="209">
        <v>281</v>
      </c>
      <c r="L23" s="242"/>
      <c r="M23" s="253">
        <v>0.18573</v>
      </c>
      <c r="N23" s="253">
        <v>0.70036</v>
      </c>
      <c r="O23" s="253">
        <v>0.40852</v>
      </c>
      <c r="P23" s="254">
        <f t="shared" si="5"/>
        <v>1.29461</v>
      </c>
      <c r="Q23" s="255">
        <v>0.5195297596644837</v>
      </c>
      <c r="R23" s="255">
        <v>0.08007</v>
      </c>
      <c r="S23" s="209">
        <v>0</v>
      </c>
      <c r="T23" s="210">
        <v>56</v>
      </c>
      <c r="U23" s="209">
        <v>11</v>
      </c>
      <c r="V23" s="237">
        <f t="shared" si="1"/>
        <v>17.01643007360673</v>
      </c>
      <c r="W23" s="238">
        <f t="shared" si="2"/>
        <v>0.4013021370640453</v>
      </c>
      <c r="X23" s="266"/>
      <c r="Y23" s="266"/>
      <c r="Z23" s="211">
        <f>ROUND(X23*'[2]Part-I'!P22,5)</f>
        <v>0</v>
      </c>
      <c r="AA23" s="211">
        <f>ROUND(Y23*'[2]Part-I'!O22,5)</f>
        <v>0</v>
      </c>
      <c r="AB23" s="211">
        <v>98.4169699964999</v>
      </c>
      <c r="AV23" s="296"/>
      <c r="AW23" s="296"/>
      <c r="AX23" s="296"/>
    </row>
    <row r="24" spans="1:50" s="211" customFormat="1" ht="26.25" customHeight="1">
      <c r="A24" s="274">
        <v>12</v>
      </c>
      <c r="B24" s="207" t="s">
        <v>34</v>
      </c>
      <c r="C24" s="212">
        <v>50131</v>
      </c>
      <c r="D24" s="208">
        <v>29820</v>
      </c>
      <c r="E24" s="208">
        <v>2737</v>
      </c>
      <c r="F24" s="208">
        <v>17574</v>
      </c>
      <c r="G24" s="170">
        <f t="shared" si="0"/>
        <v>50131</v>
      </c>
      <c r="H24" s="209">
        <v>9966</v>
      </c>
      <c r="I24" s="276"/>
      <c r="J24" s="210">
        <v>8826</v>
      </c>
      <c r="K24" s="209">
        <v>2598</v>
      </c>
      <c r="L24" s="242"/>
      <c r="M24" s="253">
        <v>0.92757</v>
      </c>
      <c r="N24" s="253">
        <v>0.33347</v>
      </c>
      <c r="O24" s="253">
        <v>0.60948</v>
      </c>
      <c r="P24" s="254">
        <f t="shared" si="5"/>
        <v>1.87052</v>
      </c>
      <c r="Q24" s="255">
        <v>0.8793335336249937</v>
      </c>
      <c r="R24" s="255">
        <v>0.29007</v>
      </c>
      <c r="S24" s="209">
        <v>3</v>
      </c>
      <c r="T24" s="210">
        <v>1001</v>
      </c>
      <c r="U24" s="209">
        <v>13</v>
      </c>
      <c r="V24" s="237">
        <f t="shared" si="1"/>
        <v>21.193292544754136</v>
      </c>
      <c r="W24" s="238">
        <f t="shared" si="2"/>
        <v>0.4701011128589877</v>
      </c>
      <c r="X24" s="266">
        <f>Q24/P24</f>
        <v>0.4701011128589877</v>
      </c>
      <c r="Y24" s="266">
        <f>R24/O24</f>
        <v>0.47593030124040164</v>
      </c>
      <c r="Z24" s="211">
        <f>ROUND(X24*'[2]Part-I'!P23,5)</f>
        <v>0.18135</v>
      </c>
      <c r="AA24" s="211">
        <v>0.09394</v>
      </c>
      <c r="AB24" s="211">
        <v>101.75959403633642</v>
      </c>
      <c r="AF24" s="244"/>
      <c r="AI24" s="245"/>
      <c r="AV24" s="296"/>
      <c r="AW24" s="296"/>
      <c r="AX24" s="296"/>
    </row>
    <row r="25" spans="1:50" s="211" customFormat="1" ht="26.25" customHeight="1">
      <c r="A25" s="274">
        <v>13</v>
      </c>
      <c r="B25" s="207" t="s">
        <v>35</v>
      </c>
      <c r="C25" s="212">
        <v>58761</v>
      </c>
      <c r="D25" s="208">
        <v>36789</v>
      </c>
      <c r="E25" s="208">
        <v>4051</v>
      </c>
      <c r="F25" s="208">
        <v>17921</v>
      </c>
      <c r="G25" s="170">
        <f t="shared" si="0"/>
        <v>58761</v>
      </c>
      <c r="H25" s="209">
        <v>8162</v>
      </c>
      <c r="I25" s="276"/>
      <c r="J25" s="210">
        <v>6059</v>
      </c>
      <c r="K25" s="209">
        <v>8829</v>
      </c>
      <c r="L25" s="242"/>
      <c r="M25" s="253">
        <v>1.07391</v>
      </c>
      <c r="N25" s="253">
        <v>0.03319</v>
      </c>
      <c r="O25" s="253">
        <v>0.55486</v>
      </c>
      <c r="P25" s="254">
        <f t="shared" si="5"/>
        <v>1.66196</v>
      </c>
      <c r="Q25" s="255">
        <v>0.55478</v>
      </c>
      <c r="R25" s="255">
        <v>0.16861999999999996</v>
      </c>
      <c r="S25" s="209">
        <v>0</v>
      </c>
      <c r="T25" s="210">
        <v>595</v>
      </c>
      <c r="U25" s="209">
        <v>92</v>
      </c>
      <c r="V25" s="237">
        <f t="shared" si="1"/>
        <v>27.42960884634428</v>
      </c>
      <c r="W25" s="238">
        <f t="shared" si="2"/>
        <v>0.3338106813641724</v>
      </c>
      <c r="X25" s="266">
        <f>Q25/P25</f>
        <v>0.3338106813641724</v>
      </c>
      <c r="Y25" s="266">
        <f>R25/O25</f>
        <v>0.3038964783909454</v>
      </c>
      <c r="Z25" s="211">
        <f>ROUND(X25*'[2]Part-I'!P24,5)</f>
        <v>0.07199</v>
      </c>
      <c r="AA25" s="211">
        <v>0.03738</v>
      </c>
      <c r="AB25" s="211">
        <v>142.24304625504232</v>
      </c>
      <c r="AV25" s="296"/>
      <c r="AW25" s="296"/>
      <c r="AX25" s="296"/>
    </row>
    <row r="26" spans="1:29" s="175" customFormat="1" ht="26.25" customHeight="1">
      <c r="A26" s="271"/>
      <c r="B26" s="171" t="s">
        <v>36</v>
      </c>
      <c r="C26" s="171">
        <f aca="true" t="shared" si="6" ref="C26:U26">SUM(C13:C25)</f>
        <v>619523</v>
      </c>
      <c r="D26" s="171">
        <f t="shared" si="6"/>
        <v>277630</v>
      </c>
      <c r="E26" s="171">
        <f t="shared" si="6"/>
        <v>161586</v>
      </c>
      <c r="F26" s="171">
        <f t="shared" si="6"/>
        <v>180173</v>
      </c>
      <c r="G26" s="171">
        <f t="shared" si="6"/>
        <v>619389</v>
      </c>
      <c r="H26" s="171">
        <f t="shared" si="6"/>
        <v>167899</v>
      </c>
      <c r="I26" s="275">
        <f>SUM(I13:I25)</f>
        <v>0</v>
      </c>
      <c r="J26" s="171">
        <f>SUM(J13:J25)</f>
        <v>151778</v>
      </c>
      <c r="K26" s="171">
        <f>SUM(K13:K25)</f>
        <v>72866</v>
      </c>
      <c r="L26" s="241">
        <f>SUM(L13:L25)</f>
        <v>0</v>
      </c>
      <c r="M26" s="172">
        <f t="shared" si="6"/>
        <v>20.12836</v>
      </c>
      <c r="N26" s="172">
        <f t="shared" si="6"/>
        <v>12.06887</v>
      </c>
      <c r="O26" s="172">
        <f t="shared" si="6"/>
        <v>13.15603</v>
      </c>
      <c r="P26" s="172">
        <f t="shared" si="6"/>
        <v>45.35326</v>
      </c>
      <c r="Q26" s="172">
        <f t="shared" si="6"/>
        <v>18.476655330793875</v>
      </c>
      <c r="R26" s="172">
        <f t="shared" si="6"/>
        <v>2.54544</v>
      </c>
      <c r="S26" s="173">
        <f t="shared" si="6"/>
        <v>30</v>
      </c>
      <c r="T26" s="173">
        <f t="shared" si="6"/>
        <v>14702</v>
      </c>
      <c r="U26" s="173">
        <f t="shared" si="6"/>
        <v>843</v>
      </c>
      <c r="V26" s="240">
        <f t="shared" si="1"/>
        <v>29.881313497344806</v>
      </c>
      <c r="W26" s="239">
        <f t="shared" si="2"/>
        <v>0.4073942056380043</v>
      </c>
      <c r="X26" s="267"/>
      <c r="Y26" s="267"/>
      <c r="Z26" s="267"/>
      <c r="AA26" s="267"/>
      <c r="AB26" s="267"/>
      <c r="AC26" s="211"/>
    </row>
    <row r="27" spans="1:16" s="228" customFormat="1" ht="37.5" customHeight="1">
      <c r="A27" s="290"/>
      <c r="B27" s="290"/>
      <c r="C27" s="290"/>
      <c r="D27" s="290"/>
      <c r="E27" s="290"/>
      <c r="F27" s="290"/>
      <c r="G27" s="290"/>
      <c r="H27" s="290"/>
      <c r="I27" s="290"/>
      <c r="J27" s="290"/>
      <c r="K27" s="290"/>
      <c r="L27" s="229"/>
      <c r="P27" s="230"/>
    </row>
    <row r="28" spans="2:28" s="224" customFormat="1" ht="15.75">
      <c r="B28" s="143"/>
      <c r="C28" s="272"/>
      <c r="D28" s="272"/>
      <c r="E28" s="272"/>
      <c r="F28" s="272"/>
      <c r="G28" s="272"/>
      <c r="H28" s="226"/>
      <c r="I28" s="225"/>
      <c r="J28" s="223"/>
      <c r="L28" s="225"/>
      <c r="M28" s="231"/>
      <c r="N28" s="231"/>
      <c r="O28" s="231"/>
      <c r="P28" s="231"/>
      <c r="Q28" s="223"/>
      <c r="R28" s="249"/>
      <c r="T28" s="223"/>
      <c r="V28" s="174"/>
      <c r="W28" s="227"/>
      <c r="X28" s="268"/>
      <c r="Y28" s="268"/>
      <c r="Z28" s="268"/>
      <c r="AA28" s="268"/>
      <c r="AB28" s="268"/>
    </row>
    <row r="29" spans="3:28" ht="13.5" customHeight="1">
      <c r="C29" s="273"/>
      <c r="D29" s="273"/>
      <c r="E29" s="273"/>
      <c r="F29" s="273"/>
      <c r="G29" s="273"/>
      <c r="H29" s="250"/>
      <c r="J29" s="45"/>
      <c r="M29" s="234"/>
      <c r="N29" s="234"/>
      <c r="O29" s="234"/>
      <c r="P29" s="235"/>
      <c r="Q29" s="194"/>
      <c r="R29" s="194"/>
      <c r="V29" s="174"/>
      <c r="W29" s="204"/>
      <c r="X29" s="269"/>
      <c r="Y29" s="269"/>
      <c r="Z29" s="269"/>
      <c r="AA29" s="269"/>
      <c r="AB29" s="269"/>
    </row>
    <row r="30" spans="3:28" ht="16.5">
      <c r="C30" s="273"/>
      <c r="D30" s="273"/>
      <c r="E30" s="273"/>
      <c r="F30" s="273"/>
      <c r="G30" s="273"/>
      <c r="J30" s="45"/>
      <c r="L30" s="203"/>
      <c r="P30" s="45"/>
      <c r="Q30" s="45"/>
      <c r="R30" s="45"/>
      <c r="V30" s="174"/>
      <c r="W30" s="204"/>
      <c r="X30" s="269"/>
      <c r="Y30" s="269"/>
      <c r="Z30" s="269"/>
      <c r="AA30" s="269"/>
      <c r="AB30" s="269"/>
    </row>
    <row r="31" spans="3:20" ht="14.25" customHeight="1">
      <c r="C31" s="273"/>
      <c r="D31" s="273"/>
      <c r="E31" s="273"/>
      <c r="F31" s="273"/>
      <c r="G31" s="273"/>
      <c r="L31" s="203"/>
      <c r="M31" s="232"/>
      <c r="N31" s="232"/>
      <c r="O31" s="232"/>
      <c r="Q31" s="103" t="s">
        <v>134</v>
      </c>
      <c r="R31" s="103"/>
      <c r="T31" s="1" t="s">
        <v>119</v>
      </c>
    </row>
    <row r="32" spans="13:18" ht="16.5">
      <c r="M32" s="194"/>
      <c r="N32" s="194"/>
      <c r="O32" s="194"/>
      <c r="Q32" s="105" t="s">
        <v>135</v>
      </c>
      <c r="R32" s="105"/>
    </row>
    <row r="33" spans="13:18" ht="16.5">
      <c r="M33" s="27"/>
      <c r="Q33" s="105" t="s">
        <v>115</v>
      </c>
      <c r="R33" s="105"/>
    </row>
    <row r="34" spans="17:18" ht="16.5">
      <c r="Q34" s="107" t="s">
        <v>136</v>
      </c>
      <c r="R34" s="107"/>
    </row>
    <row r="35" spans="17:18" ht="16.5">
      <c r="Q35" s="105" t="s">
        <v>117</v>
      </c>
      <c r="R35" s="105"/>
    </row>
  </sheetData>
  <sheetProtection/>
  <mergeCells count="32">
    <mergeCell ref="C10:C11"/>
    <mergeCell ref="A10:A11"/>
    <mergeCell ref="B10:B11"/>
    <mergeCell ref="A8:A9"/>
    <mergeCell ref="B8:B9"/>
    <mergeCell ref="D8:G8"/>
    <mergeCell ref="D10:G10"/>
    <mergeCell ref="I10:I11"/>
    <mergeCell ref="I8:I9"/>
    <mergeCell ref="L10:L11"/>
    <mergeCell ref="K10:K11"/>
    <mergeCell ref="K8:K9"/>
    <mergeCell ref="H10:H11"/>
    <mergeCell ref="H8:H9"/>
    <mergeCell ref="J10:J11"/>
    <mergeCell ref="J8:J9"/>
    <mergeCell ref="L8:L9"/>
    <mergeCell ref="M10:R10"/>
    <mergeCell ref="U8:U9"/>
    <mergeCell ref="S10:S11"/>
    <mergeCell ref="T10:T11"/>
    <mergeCell ref="U10:U11"/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</mergeCells>
  <conditionalFormatting sqref="W28:AB30 W13:Y26 Z26:AB26">
    <cfRule type="cellIs" priority="1" dxfId="6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3"/>
  <sheetViews>
    <sheetView tabSelected="1" view="pageBreakPreview" zoomScale="70" zoomScaleNormal="70" zoomScaleSheetLayoutView="70" zoomScalePageLayoutView="0" workbookViewId="0" topLeftCell="A1">
      <pane xSplit="2" ySplit="12" topLeftCell="G13" activePane="bottomRight" state="frozen"/>
      <selection pane="topLeft" activeCell="BE14" sqref="BE14:BF14"/>
      <selection pane="topRight" activeCell="BE14" sqref="BE14:BF14"/>
      <selection pane="bottomLeft" activeCell="BE14" sqref="BE14:BF14"/>
      <selection pane="bottomRight" activeCell="Y30" sqref="Y30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57421875" style="4" customWidth="1"/>
    <col min="7" max="7" width="8.8515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2.8515625" style="4" customWidth="1"/>
    <col min="12" max="12" width="12.421875" style="4" customWidth="1"/>
    <col min="13" max="13" width="12.7109375" style="4" customWidth="1"/>
    <col min="14" max="14" width="13.00390625" style="4" customWidth="1"/>
    <col min="15" max="15" width="12.28125" style="4" customWidth="1"/>
    <col min="16" max="16" width="13.421875" style="4" customWidth="1"/>
    <col min="17" max="17" width="14.57421875" style="4" hidden="1" customWidth="1"/>
    <col min="18" max="20" width="12.7109375" style="4" hidden="1" customWidth="1"/>
    <col min="21" max="21" width="12.00390625" style="4" hidden="1" customWidth="1"/>
    <col min="22" max="24" width="9.140625" style="4" hidden="1" customWidth="1"/>
    <col min="25" max="25" width="11.140625" style="4" customWidth="1"/>
    <col min="26" max="26" width="9.140625" style="4" customWidth="1"/>
    <col min="27" max="27" width="10.8515625" style="4" customWidth="1"/>
    <col min="28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44" t="s">
        <v>57</v>
      </c>
      <c r="O1" s="344"/>
      <c r="P1" s="344"/>
      <c r="Q1" s="213"/>
    </row>
    <row r="2" spans="1:17" ht="31.5" customHeight="1">
      <c r="A2" s="345" t="s">
        <v>138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216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28" t="s">
        <v>37</v>
      </c>
      <c r="B4" s="328"/>
      <c r="C4" s="328"/>
      <c r="D4" s="328"/>
      <c r="E4" s="328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214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46" t="s">
        <v>140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215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38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39</v>
      </c>
      <c r="Q8" s="39"/>
    </row>
    <row r="9" spans="1:17" s="13" customFormat="1" ht="58.5" customHeight="1">
      <c r="A9" s="335" t="s">
        <v>0</v>
      </c>
      <c r="B9" s="335" t="s">
        <v>40</v>
      </c>
      <c r="C9" s="335" t="s">
        <v>137</v>
      </c>
      <c r="D9" s="342" t="s">
        <v>41</v>
      </c>
      <c r="E9" s="342"/>
      <c r="F9" s="347" t="s">
        <v>109</v>
      </c>
      <c r="G9" s="348"/>
      <c r="H9" s="335" t="s">
        <v>42</v>
      </c>
      <c r="I9" s="335" t="s">
        <v>43</v>
      </c>
      <c r="J9" s="339" t="s">
        <v>52</v>
      </c>
      <c r="K9" s="338" t="s">
        <v>44</v>
      </c>
      <c r="L9" s="338"/>
      <c r="M9" s="338"/>
      <c r="N9" s="338"/>
      <c r="O9" s="338"/>
      <c r="P9" s="338"/>
      <c r="Q9" s="217"/>
    </row>
    <row r="10" spans="1:23" s="13" customFormat="1" ht="46.5" customHeight="1">
      <c r="A10" s="336"/>
      <c r="B10" s="336"/>
      <c r="C10" s="336"/>
      <c r="D10" s="349" t="s">
        <v>45</v>
      </c>
      <c r="E10" s="349" t="s">
        <v>46</v>
      </c>
      <c r="F10" s="349" t="s">
        <v>45</v>
      </c>
      <c r="G10" s="349" t="s">
        <v>46</v>
      </c>
      <c r="H10" s="336"/>
      <c r="I10" s="336"/>
      <c r="J10" s="340"/>
      <c r="K10" s="342" t="s">
        <v>47</v>
      </c>
      <c r="L10" s="342" t="s">
        <v>48</v>
      </c>
      <c r="M10" s="342" t="s">
        <v>49</v>
      </c>
      <c r="N10" s="342" t="s">
        <v>53</v>
      </c>
      <c r="O10" s="343"/>
      <c r="P10" s="343" t="s">
        <v>56</v>
      </c>
      <c r="Q10" s="334" t="s">
        <v>120</v>
      </c>
      <c r="R10" s="334"/>
      <c r="S10" s="334" t="s">
        <v>132</v>
      </c>
      <c r="T10" s="334" t="s">
        <v>133</v>
      </c>
      <c r="U10" s="334" t="s">
        <v>120</v>
      </c>
      <c r="V10" s="334" t="s">
        <v>120</v>
      </c>
      <c r="W10" s="334" t="s">
        <v>120</v>
      </c>
    </row>
    <row r="11" spans="1:23" s="13" customFormat="1" ht="26.25" customHeight="1">
      <c r="A11" s="337"/>
      <c r="B11" s="337"/>
      <c r="C11" s="337"/>
      <c r="D11" s="350"/>
      <c r="E11" s="350"/>
      <c r="F11" s="350"/>
      <c r="G11" s="350"/>
      <c r="H11" s="337"/>
      <c r="I11" s="337"/>
      <c r="J11" s="341"/>
      <c r="K11" s="343"/>
      <c r="L11" s="343"/>
      <c r="M11" s="343"/>
      <c r="N11" s="166" t="s">
        <v>54</v>
      </c>
      <c r="O11" s="166" t="s">
        <v>55</v>
      </c>
      <c r="P11" s="343"/>
      <c r="Q11" s="334"/>
      <c r="R11" s="334"/>
      <c r="S11" s="334"/>
      <c r="T11" s="334"/>
      <c r="U11" s="334"/>
      <c r="V11" s="334"/>
      <c r="W11" s="334"/>
    </row>
    <row r="12" spans="1:23" s="9" customFormat="1" ht="12.75" customHeight="1">
      <c r="A12" s="14"/>
      <c r="B12" s="167">
        <v>1</v>
      </c>
      <c r="C12" s="168">
        <v>2</v>
      </c>
      <c r="D12" s="167">
        <v>3</v>
      </c>
      <c r="E12" s="168">
        <v>4</v>
      </c>
      <c r="F12" s="167">
        <v>5</v>
      </c>
      <c r="G12" s="168">
        <v>6</v>
      </c>
      <c r="H12" s="167">
        <v>7</v>
      </c>
      <c r="I12" s="168">
        <v>8</v>
      </c>
      <c r="J12" s="243">
        <v>9</v>
      </c>
      <c r="K12" s="168">
        <v>10</v>
      </c>
      <c r="L12" s="167">
        <v>11</v>
      </c>
      <c r="M12" s="168">
        <v>12</v>
      </c>
      <c r="N12" s="167">
        <v>13</v>
      </c>
      <c r="O12" s="168">
        <v>14</v>
      </c>
      <c r="P12" s="167">
        <v>15</v>
      </c>
      <c r="Q12" s="334"/>
      <c r="R12" s="334"/>
      <c r="S12" s="334"/>
      <c r="T12" s="334"/>
      <c r="U12" s="334"/>
      <c r="V12" s="334"/>
      <c r="W12" s="334"/>
    </row>
    <row r="13" spans="1:40" s="9" customFormat="1" ht="21.75" customHeight="1">
      <c r="A13" s="278">
        <v>1</v>
      </c>
      <c r="B13" s="279" t="s">
        <v>23</v>
      </c>
      <c r="C13" s="148">
        <v>55.10419569999992</v>
      </c>
      <c r="D13" s="152"/>
      <c r="E13" s="152"/>
      <c r="F13" s="353">
        <v>439.31072</v>
      </c>
      <c r="G13" s="354"/>
      <c r="H13" s="148"/>
      <c r="I13" s="148">
        <f>SUM(C13:H13)</f>
        <v>494.41491569999994</v>
      </c>
      <c r="J13" s="280"/>
      <c r="K13" s="146">
        <v>288.41617</v>
      </c>
      <c r="L13" s="146">
        <v>12.64937</v>
      </c>
      <c r="M13" s="146">
        <v>91.63159</v>
      </c>
      <c r="N13" s="146">
        <v>39.17331</v>
      </c>
      <c r="O13" s="146">
        <v>6.17113</v>
      </c>
      <c r="P13" s="221">
        <f>SUM(K13:O13)</f>
        <v>438.04157000000004</v>
      </c>
      <c r="Q13" s="221">
        <f>I13-P13</f>
        <v>56.3733456999999</v>
      </c>
      <c r="R13" s="196">
        <f>K13/'Part-I'!P13</f>
        <v>111.82562152018488</v>
      </c>
      <c r="S13" s="196">
        <v>274.403636</v>
      </c>
      <c r="T13" s="281">
        <f>P13-S13</f>
        <v>163.63793400000003</v>
      </c>
      <c r="U13" s="9">
        <v>61.85</v>
      </c>
      <c r="V13" s="24"/>
      <c r="W13" s="24">
        <f>P13-'[1]Part-II'!P13</f>
        <v>25.139910000000043</v>
      </c>
      <c r="X13" s="24">
        <f>M13-'[1]Part-II'!M13</f>
        <v>43.577600000000004</v>
      </c>
      <c r="Y13" s="24">
        <v>438.041566</v>
      </c>
      <c r="Z13" s="24">
        <f>Y13-P13</f>
        <v>-4.00000004674439E-06</v>
      </c>
      <c r="AA13" s="24">
        <v>438.041566</v>
      </c>
      <c r="AB13" s="24">
        <f>Y13-AA13</f>
        <v>0</v>
      </c>
      <c r="AC13" s="24">
        <f>K13/$P13</f>
        <v>0.6584219164404876</v>
      </c>
      <c r="AD13" s="24">
        <f>L13/$P13</f>
        <v>0.028877099495374373</v>
      </c>
      <c r="AE13" s="24">
        <f>M13/$P13</f>
        <v>0.20918468993707606</v>
      </c>
      <c r="AF13" s="24">
        <f>N13/$P13</f>
        <v>0.08942829330102163</v>
      </c>
      <c r="AG13" s="24">
        <f>O13/$P13</f>
        <v>0.014088000826040321</v>
      </c>
      <c r="AH13" s="9">
        <f>ROUND($Y13*AC13,5)</f>
        <v>288.41617</v>
      </c>
      <c r="AI13" s="9">
        <f>ROUND($Y13*AD13,5)</f>
        <v>12.64937</v>
      </c>
      <c r="AJ13" s="9">
        <f>ROUND($Y13*AE13,5)</f>
        <v>91.63159</v>
      </c>
      <c r="AK13" s="9">
        <f>ROUND($Y13*AF13,5)</f>
        <v>39.17331</v>
      </c>
      <c r="AL13" s="9">
        <f>ROUND($Y13*AG13,5)</f>
        <v>6.17113</v>
      </c>
      <c r="AM13" s="301">
        <f>SUM(AH13:AL13)</f>
        <v>438.04157000000004</v>
      </c>
      <c r="AN13" s="24"/>
    </row>
    <row r="14" spans="1:40" s="9" customFormat="1" ht="21.75" customHeight="1">
      <c r="A14" s="282">
        <v>2</v>
      </c>
      <c r="B14" s="283" t="s">
        <v>24</v>
      </c>
      <c r="C14" s="152">
        <v>27.142574000000018</v>
      </c>
      <c r="D14" s="152"/>
      <c r="E14" s="152"/>
      <c r="F14" s="353">
        <v>467.13243</v>
      </c>
      <c r="G14" s="354"/>
      <c r="H14" s="152"/>
      <c r="I14" s="148">
        <f aca="true" t="shared" si="0" ref="I14:I25">SUM(C14:H14)</f>
        <v>494.275004</v>
      </c>
      <c r="J14" s="280"/>
      <c r="K14" s="153">
        <v>337.87675</v>
      </c>
      <c r="L14" s="153">
        <v>6.35465</v>
      </c>
      <c r="M14" s="153">
        <v>100.31323</v>
      </c>
      <c r="N14" s="153">
        <v>12.59164</v>
      </c>
      <c r="O14" s="153">
        <v>0.14947</v>
      </c>
      <c r="P14" s="221">
        <f aca="true" t="shared" si="1" ref="P14:P28">SUM(K14:O14)</f>
        <v>457.28574</v>
      </c>
      <c r="Q14" s="221">
        <f aca="true" t="shared" si="2" ref="Q14:Q27">I14-P14</f>
        <v>36.98926400000005</v>
      </c>
      <c r="R14" s="196">
        <f>K14/'Part-I'!P14</f>
        <v>121.14619935460739</v>
      </c>
      <c r="S14" s="196">
        <v>304.41071</v>
      </c>
      <c r="T14" s="281">
        <f aca="true" t="shared" si="3" ref="T14:T25">P14-S14</f>
        <v>152.87502999999998</v>
      </c>
      <c r="U14" s="9">
        <v>36.857749999999996</v>
      </c>
      <c r="V14" s="24"/>
      <c r="W14" s="24">
        <f>P14-'[1]Part-II'!P14</f>
        <v>-141.45221999999995</v>
      </c>
      <c r="X14" s="24">
        <f>M14-'[1]Part-II'!M14</f>
        <v>-37.435479999999984</v>
      </c>
      <c r="Y14" s="24">
        <f>P14+12.6897</f>
        <v>469.97544</v>
      </c>
      <c r="Z14" s="24">
        <f aca="true" t="shared" si="4" ref="Z14:Z25">Y14-P14</f>
        <v>12.689700000000016</v>
      </c>
      <c r="AA14" s="24">
        <v>392.23205</v>
      </c>
      <c r="AB14" s="24">
        <f aca="true" t="shared" si="5" ref="AB14:AB25">Y14-AA14</f>
        <v>77.74338999999998</v>
      </c>
      <c r="AC14" s="24">
        <f aca="true" t="shared" si="6" ref="AC14:AC24">K14/P14</f>
        <v>0.738874450797438</v>
      </c>
      <c r="AD14" s="24">
        <f aca="true" t="shared" si="7" ref="AD14:AD25">L14/$P14</f>
        <v>0.013896453451620864</v>
      </c>
      <c r="AE14" s="24">
        <f aca="true" t="shared" si="8" ref="AE14:AE25">M14/$P14</f>
        <v>0.21936662621493513</v>
      </c>
      <c r="AF14" s="24">
        <f aca="true" t="shared" si="9" ref="AF14:AF25">N14/$P14</f>
        <v>0.027535606074223964</v>
      </c>
      <c r="AG14" s="24">
        <f aca="true" t="shared" si="10" ref="AG14:AG25">O14/$P14</f>
        <v>0.0003268634617821234</v>
      </c>
      <c r="AH14" s="9">
        <f aca="true" t="shared" si="11" ref="AH14:AH25">ROUND($Y14*AC14,5)</f>
        <v>347.25285</v>
      </c>
      <c r="AI14" s="9">
        <f aca="true" t="shared" si="12" ref="AI14:AI25">ROUND($Y14*AD14,5)</f>
        <v>6.53099</v>
      </c>
      <c r="AJ14" s="9">
        <f aca="true" t="shared" si="13" ref="AJ14:AJ25">ROUND($Y14*AE14,5)</f>
        <v>103.09693</v>
      </c>
      <c r="AK14" s="9">
        <f aca="true" t="shared" si="14" ref="AK14:AK25">ROUND($Y14*AF14,5)</f>
        <v>12.94106</v>
      </c>
      <c r="AL14" s="9">
        <f aca="true" t="shared" si="15" ref="AL14:AL25">ROUND($Y14*AG14,5)</f>
        <v>0.15362</v>
      </c>
      <c r="AM14" s="301">
        <f aca="true" t="shared" si="16" ref="AM14:AM25">SUM(AH14:AL14)</f>
        <v>469.97544999999997</v>
      </c>
      <c r="AN14" s="24"/>
    </row>
    <row r="15" spans="1:40" s="9" customFormat="1" ht="21.75" customHeight="1">
      <c r="A15" s="278">
        <v>3</v>
      </c>
      <c r="B15" s="279" t="s">
        <v>25</v>
      </c>
      <c r="C15" s="148">
        <v>55.21214909999996</v>
      </c>
      <c r="D15" s="152"/>
      <c r="E15" s="152"/>
      <c r="F15" s="353">
        <v>1280.93529</v>
      </c>
      <c r="G15" s="354"/>
      <c r="H15" s="148"/>
      <c r="I15" s="148">
        <f t="shared" si="0"/>
        <v>1336.1474391</v>
      </c>
      <c r="J15" s="280"/>
      <c r="K15" s="146">
        <v>861.03397</v>
      </c>
      <c r="L15" s="146">
        <v>69.9371</v>
      </c>
      <c r="M15" s="146">
        <v>342.24024</v>
      </c>
      <c r="N15" s="146">
        <v>14.87996</v>
      </c>
      <c r="O15" s="146">
        <v>25.15304</v>
      </c>
      <c r="P15" s="221">
        <f t="shared" si="1"/>
        <v>1313.2443099999998</v>
      </c>
      <c r="Q15" s="221">
        <f t="shared" si="2"/>
        <v>22.903129100000115</v>
      </c>
      <c r="R15" s="196">
        <f>K15/'Part-I'!P15</f>
        <v>101.60496110016956</v>
      </c>
      <c r="S15" s="196">
        <v>959.12689</v>
      </c>
      <c r="T15" s="281">
        <f t="shared" si="3"/>
        <v>354.1174199999998</v>
      </c>
      <c r="U15" s="9">
        <v>166.16731999999996</v>
      </c>
      <c r="V15" s="24"/>
      <c r="W15" s="24">
        <f>P15-'[1]Part-II'!P15</f>
        <v>463.79769999999985</v>
      </c>
      <c r="X15" s="24">
        <f>M15-'[1]Part-II'!M15</f>
        <v>169.59439999999998</v>
      </c>
      <c r="Y15" s="24">
        <f>P15+34.11364</f>
        <v>1347.3579499999998</v>
      </c>
      <c r="Z15" s="24">
        <f t="shared" si="4"/>
        <v>34.11364000000003</v>
      </c>
      <c r="AA15" s="24">
        <v>1278.7301000000002</v>
      </c>
      <c r="AB15" s="24">
        <f t="shared" si="5"/>
        <v>68.62784999999963</v>
      </c>
      <c r="AC15" s="24">
        <f t="shared" si="6"/>
        <v>0.6556540648556094</v>
      </c>
      <c r="AD15" s="24">
        <f t="shared" si="7"/>
        <v>0.05325520884990548</v>
      </c>
      <c r="AE15" s="24">
        <f t="shared" si="8"/>
        <v>0.26060668026043077</v>
      </c>
      <c r="AF15" s="24">
        <f t="shared" si="9"/>
        <v>0.011330686823992409</v>
      </c>
      <c r="AG15" s="24">
        <f t="shared" si="10"/>
        <v>0.01915335921006199</v>
      </c>
      <c r="AH15" s="9">
        <f t="shared" si="11"/>
        <v>883.40072</v>
      </c>
      <c r="AI15" s="9">
        <f t="shared" si="12"/>
        <v>71.75383</v>
      </c>
      <c r="AJ15" s="9">
        <f t="shared" si="13"/>
        <v>351.13048</v>
      </c>
      <c r="AK15" s="9">
        <f t="shared" si="14"/>
        <v>15.26649</v>
      </c>
      <c r="AL15" s="9">
        <f t="shared" si="15"/>
        <v>25.80643</v>
      </c>
      <c r="AM15" s="301">
        <f t="shared" si="16"/>
        <v>1347.35795</v>
      </c>
      <c r="AN15" s="24"/>
    </row>
    <row r="16" spans="1:40" s="9" customFormat="1" ht="21.75" customHeight="1">
      <c r="A16" s="278">
        <v>4</v>
      </c>
      <c r="B16" s="279" t="s">
        <v>26</v>
      </c>
      <c r="C16" s="148">
        <v>68.19808800000007</v>
      </c>
      <c r="D16" s="152"/>
      <c r="E16" s="152"/>
      <c r="F16" s="353">
        <v>469.04671</v>
      </c>
      <c r="G16" s="354"/>
      <c r="H16" s="148"/>
      <c r="I16" s="148">
        <f t="shared" si="0"/>
        <v>537.2447980000001</v>
      </c>
      <c r="J16" s="280"/>
      <c r="K16" s="146">
        <v>356.54137</v>
      </c>
      <c r="L16" s="146">
        <v>17.89113</v>
      </c>
      <c r="M16" s="146">
        <v>112.74322</v>
      </c>
      <c r="N16" s="146">
        <v>3.8912</v>
      </c>
      <c r="O16" s="146">
        <v>6.25295</v>
      </c>
      <c r="P16" s="221">
        <f t="shared" si="1"/>
        <v>497.31987</v>
      </c>
      <c r="Q16" s="221">
        <f t="shared" si="2"/>
        <v>39.92492800000008</v>
      </c>
      <c r="R16" s="196">
        <f>K16/'Part-I'!P16</f>
        <v>110.58872591135938</v>
      </c>
      <c r="S16" s="196">
        <v>292.43390999999997</v>
      </c>
      <c r="T16" s="281">
        <f t="shared" si="3"/>
        <v>204.88596</v>
      </c>
      <c r="U16" s="9">
        <v>44.84509000000001</v>
      </c>
      <c r="V16" s="24"/>
      <c r="W16" s="24">
        <f>P16-'[1]Part-II'!P16</f>
        <v>177.21245999999996</v>
      </c>
      <c r="X16" s="24">
        <f>M16-'[1]Part-II'!M16</f>
        <v>50.72601999999999</v>
      </c>
      <c r="Y16" s="24">
        <f>P16+42.15524</f>
        <v>539.47511</v>
      </c>
      <c r="Z16" s="24">
        <f t="shared" si="4"/>
        <v>42.15523999999999</v>
      </c>
      <c r="AA16" s="24">
        <v>423.00939</v>
      </c>
      <c r="AB16" s="24">
        <f t="shared" si="5"/>
        <v>116.46571999999998</v>
      </c>
      <c r="AC16" s="24">
        <f t="shared" si="6"/>
        <v>0.7169256478732692</v>
      </c>
      <c r="AD16" s="24">
        <f t="shared" si="7"/>
        <v>0.03597509586737405</v>
      </c>
      <c r="AE16" s="24">
        <f t="shared" si="8"/>
        <v>0.2267016196236036</v>
      </c>
      <c r="AF16" s="24">
        <f t="shared" si="9"/>
        <v>0.007824340499405343</v>
      </c>
      <c r="AG16" s="24">
        <f t="shared" si="10"/>
        <v>0.012573296136347821</v>
      </c>
      <c r="AH16" s="9">
        <f t="shared" si="11"/>
        <v>386.76354</v>
      </c>
      <c r="AI16" s="9">
        <f t="shared" si="12"/>
        <v>19.40767</v>
      </c>
      <c r="AJ16" s="9">
        <f t="shared" si="13"/>
        <v>122.29988</v>
      </c>
      <c r="AK16" s="9">
        <f t="shared" si="14"/>
        <v>4.22104</v>
      </c>
      <c r="AL16" s="9">
        <f t="shared" si="15"/>
        <v>6.78298</v>
      </c>
      <c r="AM16" s="301">
        <f t="shared" si="16"/>
        <v>539.47511</v>
      </c>
      <c r="AN16" s="24"/>
    </row>
    <row r="17" spans="1:40" s="9" customFormat="1" ht="21.75" customHeight="1">
      <c r="A17" s="278">
        <v>5</v>
      </c>
      <c r="B17" s="279" t="s">
        <v>27</v>
      </c>
      <c r="C17" s="148">
        <v>43.472628600000036</v>
      </c>
      <c r="D17" s="152"/>
      <c r="E17" s="152"/>
      <c r="F17" s="353">
        <v>462.96636</v>
      </c>
      <c r="G17" s="354"/>
      <c r="H17" s="148"/>
      <c r="I17" s="148">
        <f t="shared" si="0"/>
        <v>506.4389886</v>
      </c>
      <c r="J17" s="280"/>
      <c r="K17" s="146">
        <v>339.72137</v>
      </c>
      <c r="L17" s="146">
        <v>18.42912</v>
      </c>
      <c r="M17" s="146">
        <v>101.88044</v>
      </c>
      <c r="N17" s="146">
        <v>19.42872</v>
      </c>
      <c r="O17" s="146">
        <v>7.77565</v>
      </c>
      <c r="P17" s="221">
        <f t="shared" si="1"/>
        <v>487.2353</v>
      </c>
      <c r="Q17" s="221">
        <f t="shared" si="2"/>
        <v>19.20368860000002</v>
      </c>
      <c r="R17" s="196">
        <f>K17/'Part-I'!P17</f>
        <v>102.83057481006144</v>
      </c>
      <c r="S17" s="196">
        <v>214.06911</v>
      </c>
      <c r="T17" s="281">
        <f t="shared" si="3"/>
        <v>273.16619000000003</v>
      </c>
      <c r="U17" s="9">
        <v>90.28120000000001</v>
      </c>
      <c r="V17" s="24">
        <v>4.31379</v>
      </c>
      <c r="W17" s="284">
        <f>P17-'[1]Part-II'!P17</f>
        <v>-104.24417</v>
      </c>
      <c r="X17" s="24">
        <f>M17-'[1]Part-II'!M17</f>
        <v>-57.238590000000016</v>
      </c>
      <c r="Y17" s="24">
        <f>466.2353+21</f>
        <v>487.2353</v>
      </c>
      <c r="Z17" s="24">
        <f t="shared" si="4"/>
        <v>0</v>
      </c>
      <c r="AA17" s="24">
        <v>466.2353</v>
      </c>
      <c r="AB17" s="24">
        <f t="shared" si="5"/>
        <v>21</v>
      </c>
      <c r="AC17" s="24">
        <f t="shared" si="6"/>
        <v>0.6972429337529525</v>
      </c>
      <c r="AD17" s="24">
        <f t="shared" si="7"/>
        <v>0.037823860463312084</v>
      </c>
      <c r="AE17" s="24">
        <f t="shared" si="8"/>
        <v>0.20909905337318538</v>
      </c>
      <c r="AF17" s="24">
        <f t="shared" si="9"/>
        <v>0.03987543595466092</v>
      </c>
      <c r="AG17" s="24">
        <f t="shared" si="10"/>
        <v>0.01595871645588897</v>
      </c>
      <c r="AH17" s="9">
        <f t="shared" si="11"/>
        <v>339.72137</v>
      </c>
      <c r="AI17" s="9">
        <f t="shared" si="12"/>
        <v>18.42912</v>
      </c>
      <c r="AJ17" s="9">
        <f t="shared" si="13"/>
        <v>101.88044</v>
      </c>
      <c r="AK17" s="9">
        <f t="shared" si="14"/>
        <v>19.42872</v>
      </c>
      <c r="AL17" s="9">
        <f t="shared" si="15"/>
        <v>7.77565</v>
      </c>
      <c r="AM17" s="301">
        <f t="shared" si="16"/>
        <v>487.2353</v>
      </c>
      <c r="AN17" s="24"/>
    </row>
    <row r="18" spans="1:40" s="9" customFormat="1" ht="21.75" customHeight="1">
      <c r="A18" s="278">
        <v>6</v>
      </c>
      <c r="B18" s="279" t="s">
        <v>28</v>
      </c>
      <c r="C18" s="148">
        <v>10.668948700000072</v>
      </c>
      <c r="D18" s="152"/>
      <c r="E18" s="152"/>
      <c r="F18" s="353">
        <v>739.05938</v>
      </c>
      <c r="G18" s="354"/>
      <c r="H18" s="148"/>
      <c r="I18" s="148">
        <f t="shared" si="0"/>
        <v>749.7283287000001</v>
      </c>
      <c r="J18" s="280"/>
      <c r="K18" s="146">
        <v>495.33407</v>
      </c>
      <c r="L18" s="146">
        <v>33.91716</v>
      </c>
      <c r="M18" s="146">
        <v>222.34206</v>
      </c>
      <c r="N18" s="146">
        <v>9.07063</v>
      </c>
      <c r="O18" s="146">
        <v>12.75452</v>
      </c>
      <c r="P18" s="221">
        <f t="shared" si="1"/>
        <v>773.41844</v>
      </c>
      <c r="Q18" s="221">
        <f t="shared" si="2"/>
        <v>-23.6901112999999</v>
      </c>
      <c r="R18" s="196">
        <f>K18/'Part-I'!P18</f>
        <v>86.3974865694551</v>
      </c>
      <c r="S18" s="196">
        <v>530.32122</v>
      </c>
      <c r="T18" s="281">
        <f t="shared" si="3"/>
        <v>243.09722</v>
      </c>
      <c r="U18" s="9">
        <v>81.51</v>
      </c>
      <c r="V18" s="24"/>
      <c r="W18" s="24">
        <f>P18-'[1]Part-II'!P18</f>
        <v>141.0199</v>
      </c>
      <c r="X18" s="24">
        <f>M18-'[1]Part-II'!M18</f>
        <v>46.06148000000002</v>
      </c>
      <c r="Y18" s="24">
        <f>748.41844+25</f>
        <v>773.41844</v>
      </c>
      <c r="Z18" s="24">
        <f t="shared" si="4"/>
        <v>0</v>
      </c>
      <c r="AA18" s="24">
        <v>748.41844</v>
      </c>
      <c r="AB18" s="24">
        <f t="shared" si="5"/>
        <v>25</v>
      </c>
      <c r="AC18" s="24">
        <f t="shared" si="6"/>
        <v>0.6404477115906365</v>
      </c>
      <c r="AD18" s="24">
        <f t="shared" si="7"/>
        <v>0.04385357039069304</v>
      </c>
      <c r="AE18" s="24">
        <f t="shared" si="8"/>
        <v>0.287479646851968</v>
      </c>
      <c r="AF18" s="24">
        <f t="shared" si="9"/>
        <v>0.011727972247468006</v>
      </c>
      <c r="AG18" s="24">
        <f t="shared" si="10"/>
        <v>0.016491098919234455</v>
      </c>
      <c r="AH18" s="9">
        <f t="shared" si="11"/>
        <v>495.33407</v>
      </c>
      <c r="AI18" s="9">
        <f t="shared" si="12"/>
        <v>33.91716</v>
      </c>
      <c r="AJ18" s="9">
        <f t="shared" si="13"/>
        <v>222.34206</v>
      </c>
      <c r="AK18" s="9">
        <f t="shared" si="14"/>
        <v>9.07063</v>
      </c>
      <c r="AL18" s="9">
        <f t="shared" si="15"/>
        <v>12.75452</v>
      </c>
      <c r="AM18" s="301">
        <f t="shared" si="16"/>
        <v>773.41844</v>
      </c>
      <c r="AN18" s="24"/>
    </row>
    <row r="19" spans="1:40" s="9" customFormat="1" ht="21.75" customHeight="1">
      <c r="A19" s="278">
        <v>7</v>
      </c>
      <c r="B19" s="279" t="s">
        <v>29</v>
      </c>
      <c r="C19" s="148">
        <v>21.055714000000016</v>
      </c>
      <c r="D19" s="152"/>
      <c r="E19" s="152"/>
      <c r="F19" s="353">
        <v>522.90149</v>
      </c>
      <c r="G19" s="354"/>
      <c r="H19" s="148"/>
      <c r="I19" s="148">
        <f t="shared" si="0"/>
        <v>543.9572039999999</v>
      </c>
      <c r="J19" s="280"/>
      <c r="K19" s="146">
        <v>352.77365</v>
      </c>
      <c r="L19" s="146">
        <v>15.14036</v>
      </c>
      <c r="M19" s="146">
        <v>178.96553</v>
      </c>
      <c r="N19" s="146">
        <v>8.48961</v>
      </c>
      <c r="O19" s="146">
        <v>20.48481</v>
      </c>
      <c r="P19" s="221">
        <f t="shared" si="1"/>
        <v>575.8539599999999</v>
      </c>
      <c r="Q19" s="221">
        <f t="shared" si="2"/>
        <v>-31.896755999999982</v>
      </c>
      <c r="R19" s="196">
        <f>K19/'Part-I'!P19</f>
        <v>89.45404360956783</v>
      </c>
      <c r="S19" s="196">
        <v>325.64736</v>
      </c>
      <c r="T19" s="281">
        <f t="shared" si="3"/>
        <v>250.20659999999992</v>
      </c>
      <c r="U19" s="9">
        <v>84.90853</v>
      </c>
      <c r="V19" s="24"/>
      <c r="W19" s="24">
        <f>P19-'[1]Part-II'!P19</f>
        <v>32.838399999999865</v>
      </c>
      <c r="X19" s="24">
        <f>M19-'[1]Part-II'!M19</f>
        <v>47.040805000000006</v>
      </c>
      <c r="Y19" s="24">
        <f>550.85395+25</f>
        <v>575.85395</v>
      </c>
      <c r="Z19" s="24">
        <f t="shared" si="4"/>
        <v>-9.99999986106559E-06</v>
      </c>
      <c r="AA19" s="24">
        <v>550.8539499999999</v>
      </c>
      <c r="AB19" s="24">
        <f t="shared" si="5"/>
        <v>25.000000000000114</v>
      </c>
      <c r="AC19" s="24">
        <f t="shared" si="6"/>
        <v>0.6126095755250168</v>
      </c>
      <c r="AD19" s="24">
        <f t="shared" si="7"/>
        <v>0.02629201334310526</v>
      </c>
      <c r="AE19" s="24">
        <f t="shared" si="8"/>
        <v>0.310782841538504</v>
      </c>
      <c r="AF19" s="24">
        <f t="shared" si="9"/>
        <v>0.014742644124562419</v>
      </c>
      <c r="AG19" s="24">
        <f t="shared" si="10"/>
        <v>0.03557292546881158</v>
      </c>
      <c r="AH19" s="9">
        <f t="shared" si="11"/>
        <v>352.77364</v>
      </c>
      <c r="AI19" s="9">
        <f t="shared" si="12"/>
        <v>15.14036</v>
      </c>
      <c r="AJ19" s="9">
        <f t="shared" si="13"/>
        <v>178.96553</v>
      </c>
      <c r="AK19" s="9">
        <f t="shared" si="14"/>
        <v>8.48961</v>
      </c>
      <c r="AL19" s="9">
        <f t="shared" si="15"/>
        <v>20.48481</v>
      </c>
      <c r="AM19" s="301">
        <f t="shared" si="16"/>
        <v>575.8539499999999</v>
      </c>
      <c r="AN19" s="24"/>
    </row>
    <row r="20" spans="1:40" s="9" customFormat="1" ht="21.75" customHeight="1">
      <c r="A20" s="278">
        <v>8</v>
      </c>
      <c r="B20" s="279" t="s">
        <v>30</v>
      </c>
      <c r="C20" s="148">
        <v>52.44022539999999</v>
      </c>
      <c r="D20" s="152"/>
      <c r="E20" s="152"/>
      <c r="F20" s="353">
        <v>547.10759</v>
      </c>
      <c r="G20" s="354"/>
      <c r="H20" s="148"/>
      <c r="I20" s="148">
        <f t="shared" si="0"/>
        <v>599.5478154</v>
      </c>
      <c r="J20" s="280"/>
      <c r="K20" s="146">
        <v>426.79836</v>
      </c>
      <c r="L20" s="146">
        <v>25.26178</v>
      </c>
      <c r="M20" s="146">
        <v>117.99355</v>
      </c>
      <c r="N20" s="146">
        <v>2.74724</v>
      </c>
      <c r="O20" s="146">
        <v>6.28145</v>
      </c>
      <c r="P20" s="221">
        <f t="shared" si="1"/>
        <v>579.08238</v>
      </c>
      <c r="Q20" s="221">
        <f t="shared" si="2"/>
        <v>20.465435400000047</v>
      </c>
      <c r="R20" s="196">
        <f>K20/'Part-I'!P20</f>
        <v>104.97433677510122</v>
      </c>
      <c r="S20" s="196">
        <v>367.82944</v>
      </c>
      <c r="T20" s="281">
        <f t="shared" si="3"/>
        <v>211.25293999999997</v>
      </c>
      <c r="U20" s="9">
        <v>95.95</v>
      </c>
      <c r="V20" s="24"/>
      <c r="W20" s="24">
        <f>P20-'[1]Part-II'!P20</f>
        <v>178.29647999999986</v>
      </c>
      <c r="X20" s="24">
        <f>M20-'[1]Part-II'!M20</f>
        <v>22.63114999999999</v>
      </c>
      <c r="Y20" s="24">
        <f>567.08237+12</f>
        <v>579.08237</v>
      </c>
      <c r="Z20" s="24">
        <f t="shared" si="4"/>
        <v>-9.999999974752427E-06</v>
      </c>
      <c r="AA20" s="24">
        <v>567.0823700000001</v>
      </c>
      <c r="AB20" s="24">
        <f t="shared" si="5"/>
        <v>11.999999999999886</v>
      </c>
      <c r="AC20" s="24">
        <f t="shared" si="6"/>
        <v>0.7370252916346721</v>
      </c>
      <c r="AD20" s="24">
        <f t="shared" si="7"/>
        <v>0.04362381048444265</v>
      </c>
      <c r="AE20" s="24">
        <f t="shared" si="8"/>
        <v>0.2037595238176648</v>
      </c>
      <c r="AF20" s="24">
        <f t="shared" si="9"/>
        <v>0.004744126388373275</v>
      </c>
      <c r="AG20" s="24">
        <f t="shared" si="10"/>
        <v>0.010847247674847231</v>
      </c>
      <c r="AH20" s="9">
        <f t="shared" si="11"/>
        <v>426.79835</v>
      </c>
      <c r="AI20" s="9">
        <f t="shared" si="12"/>
        <v>25.26178</v>
      </c>
      <c r="AJ20" s="9">
        <f t="shared" si="13"/>
        <v>117.99355</v>
      </c>
      <c r="AK20" s="9">
        <f t="shared" si="14"/>
        <v>2.74724</v>
      </c>
      <c r="AL20" s="9">
        <f t="shared" si="15"/>
        <v>6.28145</v>
      </c>
      <c r="AM20" s="301">
        <f t="shared" si="16"/>
        <v>579.08237</v>
      </c>
      <c r="AN20" s="24"/>
    </row>
    <row r="21" spans="1:40" s="9" customFormat="1" ht="21.75" customHeight="1">
      <c r="A21" s="278">
        <v>9</v>
      </c>
      <c r="B21" s="279" t="s">
        <v>31</v>
      </c>
      <c r="C21" s="148">
        <v>19.63769990000008</v>
      </c>
      <c r="D21" s="152"/>
      <c r="E21" s="152"/>
      <c r="F21" s="353">
        <v>251.13518</v>
      </c>
      <c r="G21" s="354"/>
      <c r="H21" s="148"/>
      <c r="I21" s="148">
        <f t="shared" si="0"/>
        <v>270.7728799000001</v>
      </c>
      <c r="J21" s="280"/>
      <c r="K21" s="146">
        <v>194.70696</v>
      </c>
      <c r="L21" s="146">
        <v>8.25215</v>
      </c>
      <c r="M21" s="146">
        <v>30.80233</v>
      </c>
      <c r="N21" s="146">
        <v>1.7192</v>
      </c>
      <c r="O21" s="146">
        <v>3.54455</v>
      </c>
      <c r="P21" s="221">
        <f t="shared" si="1"/>
        <v>239.02519</v>
      </c>
      <c r="Q21" s="221">
        <f t="shared" si="2"/>
        <v>31.74768990000007</v>
      </c>
      <c r="R21" s="196">
        <f>K21/'Part-I'!P21</f>
        <v>102.12421259119782</v>
      </c>
      <c r="S21" s="196">
        <v>147.30015999999998</v>
      </c>
      <c r="T21" s="281">
        <f t="shared" si="3"/>
        <v>91.72503000000003</v>
      </c>
      <c r="U21" s="9">
        <v>83.854181</v>
      </c>
      <c r="V21" s="24"/>
      <c r="W21" s="24">
        <f>P21-'[1]Part-II'!P21</f>
        <v>15.649419999999992</v>
      </c>
      <c r="X21" s="24">
        <f>M21-'[1]Part-II'!M21</f>
        <v>18.86141</v>
      </c>
      <c r="Y21" s="24">
        <f>234.02519+5</f>
        <v>239.02519</v>
      </c>
      <c r="Z21" s="24">
        <f t="shared" si="4"/>
        <v>0</v>
      </c>
      <c r="AA21" s="24">
        <v>234.02518999999998</v>
      </c>
      <c r="AB21" s="24">
        <f t="shared" si="5"/>
        <v>5.000000000000028</v>
      </c>
      <c r="AC21" s="24">
        <f t="shared" si="6"/>
        <v>0.8145876173134723</v>
      </c>
      <c r="AD21" s="24">
        <f t="shared" si="7"/>
        <v>0.034524185505301765</v>
      </c>
      <c r="AE21" s="24">
        <f t="shared" si="8"/>
        <v>0.12886645963967228</v>
      </c>
      <c r="AF21" s="24">
        <f>N21/$P21</f>
        <v>0.007192547362895099</v>
      </c>
      <c r="AG21" s="24">
        <f t="shared" si="10"/>
        <v>0.014829190178658575</v>
      </c>
      <c r="AH21" s="9">
        <f t="shared" si="11"/>
        <v>194.70696</v>
      </c>
      <c r="AI21" s="9">
        <f t="shared" si="12"/>
        <v>8.25215</v>
      </c>
      <c r="AJ21" s="9">
        <f t="shared" si="13"/>
        <v>30.80233</v>
      </c>
      <c r="AK21" s="9">
        <f t="shared" si="14"/>
        <v>1.7192</v>
      </c>
      <c r="AL21" s="9">
        <f t="shared" si="15"/>
        <v>3.54455</v>
      </c>
      <c r="AM21" s="301">
        <f t="shared" si="16"/>
        <v>239.02519</v>
      </c>
      <c r="AN21" s="24"/>
    </row>
    <row r="22" spans="1:40" s="9" customFormat="1" ht="21.75" customHeight="1">
      <c r="A22" s="278">
        <v>10</v>
      </c>
      <c r="B22" s="279" t="s">
        <v>32</v>
      </c>
      <c r="C22" s="148">
        <v>90.76816619999994</v>
      </c>
      <c r="D22" s="152"/>
      <c r="E22" s="152"/>
      <c r="F22" s="353">
        <v>614.43123</v>
      </c>
      <c r="G22" s="354"/>
      <c r="H22" s="148"/>
      <c r="I22" s="148">
        <f t="shared" si="0"/>
        <v>705.1993961999999</v>
      </c>
      <c r="J22" s="280"/>
      <c r="K22" s="146">
        <v>526.86408</v>
      </c>
      <c r="L22" s="146">
        <v>18.04765</v>
      </c>
      <c r="M22" s="146">
        <v>85.44436</v>
      </c>
      <c r="N22" s="146">
        <v>2.50314</v>
      </c>
      <c r="O22" s="146">
        <v>6.28578</v>
      </c>
      <c r="P22" s="221">
        <f t="shared" si="1"/>
        <v>639.14501</v>
      </c>
      <c r="Q22" s="221">
        <f t="shared" si="2"/>
        <v>66.05438619999995</v>
      </c>
      <c r="R22" s="196">
        <f>K22/'Part-I'!P22</f>
        <v>116.90399195883562</v>
      </c>
      <c r="S22" s="196">
        <v>266.27575</v>
      </c>
      <c r="T22" s="281">
        <f t="shared" si="3"/>
        <v>372.86925999999994</v>
      </c>
      <c r="U22" s="9">
        <v>80.17361999999999</v>
      </c>
      <c r="V22" s="24"/>
      <c r="W22" s="24">
        <f>P22-'[1]Part-II'!P22</f>
        <v>84.41077999999993</v>
      </c>
      <c r="X22" s="24">
        <f>M22-'[1]Part-II'!M22</f>
        <v>-61.65474999999999</v>
      </c>
      <c r="Y22" s="24">
        <f>620.14502+19</f>
        <v>639.14502</v>
      </c>
      <c r="Z22" s="24">
        <f t="shared" si="4"/>
        <v>1.0000000088439265E-05</v>
      </c>
      <c r="AA22" s="24">
        <v>620.1450199999999</v>
      </c>
      <c r="AB22" s="24">
        <f t="shared" si="5"/>
        <v>19.000000000000114</v>
      </c>
      <c r="AC22" s="24">
        <f t="shared" si="6"/>
        <v>0.8243263606172877</v>
      </c>
      <c r="AD22" s="24">
        <f t="shared" si="7"/>
        <v>0.028237175785820502</v>
      </c>
      <c r="AE22" s="24">
        <f t="shared" si="8"/>
        <v>0.13368540575792026</v>
      </c>
      <c r="AF22" s="24">
        <f t="shared" si="9"/>
        <v>0.003916388238719098</v>
      </c>
      <c r="AG22" s="24">
        <f t="shared" si="10"/>
        <v>0.009834669600252375</v>
      </c>
      <c r="AH22" s="9">
        <f t="shared" si="11"/>
        <v>526.86409</v>
      </c>
      <c r="AI22" s="9">
        <f t="shared" si="12"/>
        <v>18.04765</v>
      </c>
      <c r="AJ22" s="9">
        <f t="shared" si="13"/>
        <v>85.44436</v>
      </c>
      <c r="AK22" s="9">
        <f t="shared" si="14"/>
        <v>2.50314</v>
      </c>
      <c r="AL22" s="9">
        <f t="shared" si="15"/>
        <v>6.28578</v>
      </c>
      <c r="AM22" s="301">
        <f t="shared" si="16"/>
        <v>639.14502</v>
      </c>
      <c r="AN22" s="24"/>
    </row>
    <row r="23" spans="1:40" s="9" customFormat="1" ht="21.75" customHeight="1">
      <c r="A23" s="278">
        <v>11</v>
      </c>
      <c r="B23" s="279" t="s">
        <v>33</v>
      </c>
      <c r="C23" s="148">
        <v>10.260448999999966</v>
      </c>
      <c r="D23" s="152"/>
      <c r="E23" s="152"/>
      <c r="F23" s="353">
        <v>162.94907</v>
      </c>
      <c r="G23" s="354"/>
      <c r="H23" s="148"/>
      <c r="I23" s="148">
        <f t="shared" si="0"/>
        <v>173.20951899999997</v>
      </c>
      <c r="J23" s="280"/>
      <c r="K23" s="146">
        <v>103.88603</v>
      </c>
      <c r="L23" s="146">
        <v>7.82762</v>
      </c>
      <c r="M23" s="146">
        <v>50.46973</v>
      </c>
      <c r="N23" s="146">
        <v>11.68663</v>
      </c>
      <c r="O23" s="146">
        <v>1.60152</v>
      </c>
      <c r="P23" s="221">
        <f t="shared" si="1"/>
        <v>175.47153</v>
      </c>
      <c r="Q23" s="221">
        <f t="shared" si="2"/>
        <v>-2.2620110000000295</v>
      </c>
      <c r="R23" s="196">
        <f>K23/'Part-I'!P23</f>
        <v>80.24503904650821</v>
      </c>
      <c r="S23" s="196">
        <v>73.37846</v>
      </c>
      <c r="T23" s="281">
        <f t="shared" si="3"/>
        <v>102.09307</v>
      </c>
      <c r="U23" s="9">
        <v>29.66637</v>
      </c>
      <c r="V23" s="24"/>
      <c r="W23" s="24">
        <f>P23-'[1]Part-II'!P23</f>
        <v>-84.38433</v>
      </c>
      <c r="X23" s="24">
        <f>M23-'[1]Part-II'!M23</f>
        <v>14.752849999999995</v>
      </c>
      <c r="Y23" s="24">
        <f>170.47153+5</f>
        <v>175.47153</v>
      </c>
      <c r="Z23" s="24">
        <f t="shared" si="4"/>
        <v>0</v>
      </c>
      <c r="AA23" s="24">
        <v>170.47153</v>
      </c>
      <c r="AB23" s="24">
        <f t="shared" si="5"/>
        <v>5</v>
      </c>
      <c r="AC23" s="24">
        <f t="shared" si="6"/>
        <v>0.5920392328031789</v>
      </c>
      <c r="AD23" s="24">
        <f t="shared" si="7"/>
        <v>0.0446090599426585</v>
      </c>
      <c r="AE23" s="24">
        <f t="shared" si="8"/>
        <v>0.287623468034957</v>
      </c>
      <c r="AF23" s="24">
        <f t="shared" si="9"/>
        <v>0.06660128853951407</v>
      </c>
      <c r="AG23" s="24">
        <f t="shared" si="10"/>
        <v>0.009126950679691458</v>
      </c>
      <c r="AH23" s="9">
        <f t="shared" si="11"/>
        <v>103.88603</v>
      </c>
      <c r="AI23" s="9">
        <f t="shared" si="12"/>
        <v>7.82762</v>
      </c>
      <c r="AJ23" s="9">
        <f t="shared" si="13"/>
        <v>50.46973</v>
      </c>
      <c r="AK23" s="9">
        <f t="shared" si="14"/>
        <v>11.68663</v>
      </c>
      <c r="AL23" s="9">
        <f t="shared" si="15"/>
        <v>1.60152</v>
      </c>
      <c r="AM23" s="301">
        <f t="shared" si="16"/>
        <v>175.47153</v>
      </c>
      <c r="AN23" s="24"/>
    </row>
    <row r="24" spans="1:40" s="9" customFormat="1" ht="21.75" customHeight="1">
      <c r="A24" s="278">
        <v>12</v>
      </c>
      <c r="B24" s="279" t="s">
        <v>34</v>
      </c>
      <c r="C24" s="148">
        <v>15.641735899999997</v>
      </c>
      <c r="D24" s="152"/>
      <c r="E24" s="152"/>
      <c r="F24" s="353">
        <v>302.37357</v>
      </c>
      <c r="G24" s="354"/>
      <c r="H24" s="148"/>
      <c r="I24" s="148">
        <f t="shared" si="0"/>
        <v>318.0153059</v>
      </c>
      <c r="J24" s="280"/>
      <c r="K24" s="146">
        <v>204.05067</v>
      </c>
      <c r="L24" s="146">
        <v>8.6226</v>
      </c>
      <c r="M24" s="146">
        <v>33.28201</v>
      </c>
      <c r="N24" s="146">
        <v>2.22743</v>
      </c>
      <c r="O24" s="146">
        <v>12.02707</v>
      </c>
      <c r="P24" s="221">
        <f t="shared" si="1"/>
        <v>260.20978</v>
      </c>
      <c r="Q24" s="221">
        <f t="shared" si="2"/>
        <v>57.805525899999964</v>
      </c>
      <c r="R24" s="196">
        <f>K24/'Part-I'!P24</f>
        <v>109.08767080811752</v>
      </c>
      <c r="S24" s="196">
        <v>158.22349</v>
      </c>
      <c r="T24" s="281">
        <f t="shared" si="3"/>
        <v>101.98629000000003</v>
      </c>
      <c r="U24" s="9">
        <v>52.48554</v>
      </c>
      <c r="V24" s="24"/>
      <c r="W24" s="24">
        <f>P24-'[1]Part-II'!P24</f>
        <v>36.03454000000002</v>
      </c>
      <c r="X24" s="24">
        <f>M24-'[1]Part-II'!M24</f>
        <v>-7.708125000000003</v>
      </c>
      <c r="Y24" s="24">
        <f>250.209785+10</f>
        <v>260.209785</v>
      </c>
      <c r="Z24" s="24">
        <f t="shared" si="4"/>
        <v>4.9999999873762135E-06</v>
      </c>
      <c r="AA24" s="24">
        <v>250.209785</v>
      </c>
      <c r="AB24" s="24">
        <f t="shared" si="5"/>
        <v>10</v>
      </c>
      <c r="AC24" s="24">
        <f t="shared" si="6"/>
        <v>0.7841775585836934</v>
      </c>
      <c r="AD24" s="24">
        <f t="shared" si="7"/>
        <v>0.033137109604412254</v>
      </c>
      <c r="AE24" s="24">
        <f t="shared" si="8"/>
        <v>0.1279045314899386</v>
      </c>
      <c r="AF24" s="24">
        <f t="shared" si="9"/>
        <v>0.008560131752157816</v>
      </c>
      <c r="AG24" s="24">
        <f t="shared" si="10"/>
        <v>0.0462206685697978</v>
      </c>
      <c r="AH24" s="9">
        <f t="shared" si="11"/>
        <v>204.05067</v>
      </c>
      <c r="AI24" s="9">
        <f t="shared" si="12"/>
        <v>8.6226</v>
      </c>
      <c r="AJ24" s="9">
        <f t="shared" si="13"/>
        <v>33.28201</v>
      </c>
      <c r="AK24" s="9">
        <f t="shared" si="14"/>
        <v>2.22743</v>
      </c>
      <c r="AL24" s="9">
        <f t="shared" si="15"/>
        <v>12.02707</v>
      </c>
      <c r="AM24" s="301">
        <f t="shared" si="16"/>
        <v>260.20978</v>
      </c>
      <c r="AN24" s="24"/>
    </row>
    <row r="25" spans="1:40" s="9" customFormat="1" ht="21.75" customHeight="1">
      <c r="A25" s="278">
        <v>13</v>
      </c>
      <c r="B25" s="279" t="s">
        <v>35</v>
      </c>
      <c r="C25" s="148">
        <v>36.488015200000085</v>
      </c>
      <c r="D25" s="152"/>
      <c r="E25" s="152"/>
      <c r="F25" s="353">
        <v>359.98735</v>
      </c>
      <c r="G25" s="354"/>
      <c r="H25" s="148"/>
      <c r="I25" s="148">
        <f t="shared" si="0"/>
        <v>396.47536520000006</v>
      </c>
      <c r="J25" s="280"/>
      <c r="K25" s="146">
        <v>201.30731</v>
      </c>
      <c r="L25" s="146">
        <v>13.01627</v>
      </c>
      <c r="M25" s="146">
        <v>65.60226</v>
      </c>
      <c r="N25" s="146">
        <v>4.38054</v>
      </c>
      <c r="O25" s="146">
        <v>39.04836</v>
      </c>
      <c r="P25" s="221">
        <f t="shared" si="1"/>
        <v>323.35474</v>
      </c>
      <c r="Q25" s="221">
        <f t="shared" si="2"/>
        <v>73.12062520000006</v>
      </c>
      <c r="R25" s="196">
        <f>K25/'Part-I'!P25</f>
        <v>121.12644708657247</v>
      </c>
      <c r="S25" s="196">
        <v>198.21515</v>
      </c>
      <c r="T25" s="281">
        <f t="shared" si="3"/>
        <v>125.13959</v>
      </c>
      <c r="U25" s="9">
        <v>61.02503</v>
      </c>
      <c r="V25" s="24"/>
      <c r="W25" s="24">
        <f>P25-'[1]Part-II'!P25</f>
        <v>-99.82815499999998</v>
      </c>
      <c r="X25" s="24">
        <f>M25-'[1]Part-II'!M25</f>
        <v>21.082480000000004</v>
      </c>
      <c r="Y25" s="24">
        <f>P25+25.01546</f>
        <v>348.3702</v>
      </c>
      <c r="Z25" s="24">
        <f t="shared" si="4"/>
        <v>25.01546000000002</v>
      </c>
      <c r="AA25" s="24">
        <v>303.74267000000003</v>
      </c>
      <c r="AB25" s="24">
        <f t="shared" si="5"/>
        <v>44.62752999999998</v>
      </c>
      <c r="AC25" s="24">
        <f>K25/P25</f>
        <v>0.6225587105975314</v>
      </c>
      <c r="AD25" s="24">
        <f t="shared" si="7"/>
        <v>0.04025384010143164</v>
      </c>
      <c r="AE25" s="24">
        <f t="shared" si="8"/>
        <v>0.20288015570762935</v>
      </c>
      <c r="AF25" s="24">
        <f t="shared" si="9"/>
        <v>0.013547164949553546</v>
      </c>
      <c r="AG25" s="24">
        <f t="shared" si="10"/>
        <v>0.12076012864385413</v>
      </c>
      <c r="AH25" s="9">
        <f t="shared" si="11"/>
        <v>216.8809</v>
      </c>
      <c r="AI25" s="9">
        <f t="shared" si="12"/>
        <v>14.02324</v>
      </c>
      <c r="AJ25" s="9">
        <f t="shared" si="13"/>
        <v>70.6774</v>
      </c>
      <c r="AK25" s="9">
        <f t="shared" si="14"/>
        <v>4.71943</v>
      </c>
      <c r="AL25" s="9">
        <f t="shared" si="15"/>
        <v>42.06923</v>
      </c>
      <c r="AM25" s="301">
        <f t="shared" si="16"/>
        <v>348.3702</v>
      </c>
      <c r="AN25" s="24"/>
    </row>
    <row r="26" spans="1:39" s="8" customFormat="1" ht="19.5" customHeight="1">
      <c r="A26" s="15"/>
      <c r="B26" s="160" t="s">
        <v>5</v>
      </c>
      <c r="C26" s="16">
        <f aca="true" t="shared" si="17" ref="C26:H26">SUM(C13:C25)</f>
        <v>506.0905897000002</v>
      </c>
      <c r="D26" s="16">
        <f t="shared" si="17"/>
        <v>0</v>
      </c>
      <c r="E26" s="16">
        <f t="shared" si="17"/>
        <v>0</v>
      </c>
      <c r="F26" s="351">
        <f>SUM(F13:F25)</f>
        <v>6619.33637</v>
      </c>
      <c r="G26" s="352"/>
      <c r="H26" s="16">
        <f t="shared" si="17"/>
        <v>0</v>
      </c>
      <c r="I26" s="16">
        <f aca="true" t="shared" si="18" ref="I26:P26">SUM(I13:I25)</f>
        <v>7125.4269597</v>
      </c>
      <c r="J26" s="16">
        <f t="shared" si="18"/>
        <v>0</v>
      </c>
      <c r="K26" s="17">
        <f t="shared" si="18"/>
        <v>4689.310759999999</v>
      </c>
      <c r="L26" s="17">
        <f t="shared" si="18"/>
        <v>255.34696</v>
      </c>
      <c r="M26" s="17">
        <f t="shared" si="18"/>
        <v>1533.7105499999998</v>
      </c>
      <c r="N26" s="17">
        <f t="shared" si="18"/>
        <v>132.78924999999998</v>
      </c>
      <c r="O26" s="17">
        <f t="shared" si="18"/>
        <v>147.5303</v>
      </c>
      <c r="P26" s="17">
        <f t="shared" si="18"/>
        <v>6758.687819999999</v>
      </c>
      <c r="Q26" s="218">
        <f>SUM(Q13:Q25)</f>
        <v>366.73913970000035</v>
      </c>
      <c r="R26" s="218">
        <f>SUM(R13:R25)</f>
        <v>1358.3093111417384</v>
      </c>
      <c r="S26" s="218">
        <f>SUM(S13:S25)</f>
        <v>4111.635285999999</v>
      </c>
      <c r="T26" s="218">
        <f>SUM(T13:T25)</f>
        <v>2647.0525339999995</v>
      </c>
      <c r="U26" s="218">
        <f>SUM(U13:U25)</f>
        <v>969.5746310000002</v>
      </c>
      <c r="W26" s="24">
        <f>P26-'[1]Part-II'!P26</f>
        <v>724.4907150000008</v>
      </c>
      <c r="X26" s="24">
        <f>M26-'[1]Part-II'!M26</f>
        <v>270.29124999999976</v>
      </c>
      <c r="Y26" s="302">
        <f>SUM(Y13:Y25)</f>
        <v>6872.661851</v>
      </c>
      <c r="Z26" s="24">
        <f>SUM(Z13:Z25)</f>
        <v>113.97403100000025</v>
      </c>
      <c r="AA26" s="302">
        <f>+Z26+P26</f>
        <v>6872.661851</v>
      </c>
      <c r="AB26" s="24"/>
      <c r="AC26" s="24"/>
      <c r="AD26" s="24"/>
      <c r="AE26" s="24"/>
      <c r="AF26" s="24"/>
      <c r="AM26" s="303">
        <f>SUM(AM13:AM25)</f>
        <v>6872.66186</v>
      </c>
    </row>
    <row r="27" spans="1:21" s="198" customFormat="1" ht="15.75">
      <c r="A27" s="199">
        <v>1</v>
      </c>
      <c r="B27" s="200" t="s">
        <v>50</v>
      </c>
      <c r="C27" s="158">
        <v>222.78</v>
      </c>
      <c r="D27" s="157"/>
      <c r="E27" s="158"/>
      <c r="F27" s="251">
        <v>102.56184</v>
      </c>
      <c r="G27" s="252"/>
      <c r="H27" s="158"/>
      <c r="I27" s="152">
        <f>SUM(C27:H27)</f>
        <v>325.34184</v>
      </c>
      <c r="J27" s="201"/>
      <c r="K27" s="153">
        <f>145.81+5.24566</f>
        <v>151.05566</v>
      </c>
      <c r="L27" s="153"/>
      <c r="M27" s="153"/>
      <c r="N27" s="153"/>
      <c r="O27" s="153"/>
      <c r="P27" s="153">
        <f t="shared" si="1"/>
        <v>151.05566</v>
      </c>
      <c r="Q27" s="221">
        <f t="shared" si="2"/>
        <v>174.28618</v>
      </c>
      <c r="R27" s="197"/>
      <c r="S27" s="197">
        <v>83.25</v>
      </c>
      <c r="T27" s="197"/>
      <c r="U27" s="197"/>
    </row>
    <row r="28" spans="1:29" s="9" customFormat="1" ht="15.75">
      <c r="A28" s="18">
        <v>2</v>
      </c>
      <c r="B28" s="161" t="s">
        <v>106</v>
      </c>
      <c r="C28" s="144">
        <v>983.81</v>
      </c>
      <c r="D28" s="157"/>
      <c r="E28" s="158">
        <f>555.56</f>
        <v>555.56</v>
      </c>
      <c r="F28" s="158">
        <f>2000+1000+100+900+300</f>
        <v>4300</v>
      </c>
      <c r="G28" s="144">
        <f>333.33+144.44+555.56</f>
        <v>1033.33</v>
      </c>
      <c r="H28" s="144">
        <v>0</v>
      </c>
      <c r="I28" s="148">
        <f>SUM(C28:H28)</f>
        <v>6872.7</v>
      </c>
      <c r="J28" s="145"/>
      <c r="K28" s="146"/>
      <c r="L28" s="146"/>
      <c r="M28" s="146"/>
      <c r="N28" s="146">
        <v>23.868</v>
      </c>
      <c r="O28" s="146">
        <v>18.094000000000005</v>
      </c>
      <c r="P28" s="147">
        <f t="shared" si="1"/>
        <v>41.962</v>
      </c>
      <c r="Q28" s="219"/>
      <c r="R28" s="186"/>
      <c r="S28" s="186">
        <v>29.33462</v>
      </c>
      <c r="T28" s="186"/>
      <c r="U28" s="186"/>
      <c r="Y28" s="9">
        <v>41.962</v>
      </c>
      <c r="Z28" s="24">
        <f>N28/P28</f>
        <v>0.5688003431676277</v>
      </c>
      <c r="AA28" s="9">
        <f>Z28*Y28</f>
        <v>23.867999999999995</v>
      </c>
      <c r="AB28" s="9">
        <v>23.868</v>
      </c>
      <c r="AC28" s="9">
        <f>Y28-AB28</f>
        <v>18.094000000000005</v>
      </c>
    </row>
    <row r="29" spans="1:26" s="19" customFormat="1" ht="19.5" customHeight="1">
      <c r="A29" s="161"/>
      <c r="B29" s="162" t="s">
        <v>5</v>
      </c>
      <c r="C29" s="149">
        <f>SUM(C27:C28)</f>
        <v>1206.59</v>
      </c>
      <c r="D29" s="149">
        <f aca="true" t="shared" si="19" ref="D29:O29">SUM(D27:D28)</f>
        <v>0</v>
      </c>
      <c r="E29" s="149">
        <f>SUM(E27:E28)</f>
        <v>555.56</v>
      </c>
      <c r="F29" s="149">
        <f>F28</f>
        <v>4300</v>
      </c>
      <c r="G29" s="149">
        <f>SUM(G27:G28)</f>
        <v>1033.33</v>
      </c>
      <c r="H29" s="149">
        <f t="shared" si="19"/>
        <v>0</v>
      </c>
      <c r="I29" s="149">
        <f>SUM(I27:I28)</f>
        <v>7198.04184</v>
      </c>
      <c r="J29" s="150"/>
      <c r="K29" s="151">
        <f t="shared" si="19"/>
        <v>151.05566</v>
      </c>
      <c r="L29" s="151">
        <f t="shared" si="19"/>
        <v>0</v>
      </c>
      <c r="M29" s="151">
        <f t="shared" si="19"/>
        <v>0</v>
      </c>
      <c r="N29" s="151">
        <f t="shared" si="19"/>
        <v>23.868</v>
      </c>
      <c r="O29" s="151">
        <f t="shared" si="19"/>
        <v>18.094000000000005</v>
      </c>
      <c r="P29" s="151">
        <f>SUM(K29:O29)</f>
        <v>193.01765999999998</v>
      </c>
      <c r="Q29" s="220"/>
      <c r="R29" s="190"/>
      <c r="S29" s="151">
        <f>SUM(N29:R29)</f>
        <v>234.97965999999997</v>
      </c>
      <c r="T29" s="190"/>
      <c r="U29" s="190"/>
      <c r="Z29" s="19" t="s">
        <v>119</v>
      </c>
    </row>
    <row r="30" spans="1:22" s="9" customFormat="1" ht="15.75">
      <c r="A30" s="163"/>
      <c r="B30" s="164" t="s">
        <v>51</v>
      </c>
      <c r="C30" s="20">
        <f aca="true" t="shared" si="20" ref="C30:O30">C26+C29</f>
        <v>1712.6805897000002</v>
      </c>
      <c r="D30" s="20">
        <f t="shared" si="20"/>
        <v>0</v>
      </c>
      <c r="E30" s="20">
        <f>E29</f>
        <v>555.56</v>
      </c>
      <c r="F30" s="20">
        <f>F29</f>
        <v>4300</v>
      </c>
      <c r="G30" s="20">
        <f>G26+G29</f>
        <v>1033.33</v>
      </c>
      <c r="H30" s="20">
        <f t="shared" si="20"/>
        <v>0</v>
      </c>
      <c r="I30" s="20">
        <f>SUM(C30:H30)</f>
        <v>7601.5705897</v>
      </c>
      <c r="J30" s="20">
        <f>J26</f>
        <v>0</v>
      </c>
      <c r="K30" s="21">
        <f t="shared" si="20"/>
        <v>4840.366419999999</v>
      </c>
      <c r="L30" s="21">
        <f t="shared" si="20"/>
        <v>255.34696</v>
      </c>
      <c r="M30" s="21">
        <f t="shared" si="20"/>
        <v>1533.7105499999998</v>
      </c>
      <c r="N30" s="21">
        <f t="shared" si="20"/>
        <v>156.65724999999998</v>
      </c>
      <c r="O30" s="21">
        <f t="shared" si="20"/>
        <v>165.6243</v>
      </c>
      <c r="P30" s="21">
        <f>P26+P29</f>
        <v>6951.705479999999</v>
      </c>
      <c r="Q30" s="196">
        <f>I30-P30</f>
        <v>649.8651097000011</v>
      </c>
      <c r="R30" s="191">
        <v>5238.43376</v>
      </c>
      <c r="S30" s="21">
        <f>S26+S29</f>
        <v>4346.614945999999</v>
      </c>
      <c r="T30" s="191"/>
      <c r="U30" s="186">
        <f>P30-R30</f>
        <v>1713.2717199999988</v>
      </c>
      <c r="V30" s="185"/>
    </row>
    <row r="31" spans="1:20" s="9" customFormat="1" ht="22.5" customHeight="1">
      <c r="A31" s="180"/>
      <c r="B31" s="181"/>
      <c r="C31" s="181"/>
      <c r="D31" s="181"/>
      <c r="E31" s="181"/>
      <c r="F31" s="181"/>
      <c r="G31" s="181"/>
      <c r="H31" s="181"/>
      <c r="I31" s="233"/>
      <c r="J31" s="233"/>
      <c r="K31" s="176"/>
      <c r="M31" s="24"/>
      <c r="N31" s="292"/>
      <c r="O31" s="188"/>
      <c r="P31" s="23"/>
      <c r="Q31" s="23"/>
      <c r="R31" s="196">
        <f>R24-S24</f>
        <v>-49.135819191882476</v>
      </c>
      <c r="S31" s="196">
        <f>R31+R17</f>
        <v>53.69475561817896</v>
      </c>
      <c r="T31" s="222"/>
    </row>
    <row r="32" spans="1:17" s="9" customFormat="1" ht="36.75" customHeight="1">
      <c r="A32" s="294"/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M32" s="24"/>
      <c r="N32" s="159"/>
      <c r="O32" s="293"/>
      <c r="P32" s="23"/>
      <c r="Q32" s="270"/>
    </row>
    <row r="33" spans="2:17" s="9" customFormat="1" ht="18" customHeight="1">
      <c r="B33" s="19"/>
      <c r="C33" s="186"/>
      <c r="D33" s="247"/>
      <c r="K33" s="169"/>
      <c r="M33" s="24"/>
      <c r="N33" s="103" t="s">
        <v>134</v>
      </c>
      <c r="P33" s="23"/>
      <c r="Q33" s="23"/>
    </row>
    <row r="34" spans="2:17" s="9" customFormat="1" ht="20.25" customHeight="1"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05" t="s">
        <v>135</v>
      </c>
      <c r="O34" s="154"/>
      <c r="P34" s="154"/>
      <c r="Q34" s="154"/>
    </row>
    <row r="35" spans="4:14" s="9" customFormat="1" ht="15.75">
      <c r="D35" s="22"/>
      <c r="J35" s="186"/>
      <c r="K35" s="186"/>
      <c r="N35" s="105" t="s">
        <v>115</v>
      </c>
    </row>
    <row r="36" spans="2:17" s="9" customFormat="1" ht="18.75">
      <c r="B36" s="19"/>
      <c r="D36" s="22"/>
      <c r="M36" s="155"/>
      <c r="N36" s="107" t="s">
        <v>136</v>
      </c>
      <c r="O36" s="156"/>
      <c r="P36" s="156"/>
      <c r="Q36" s="156"/>
    </row>
    <row r="37" spans="2:17" s="9" customFormat="1" ht="18.75">
      <c r="B37" s="19"/>
      <c r="D37" s="22"/>
      <c r="F37" s="187"/>
      <c r="G37" s="187"/>
      <c r="H37" s="188"/>
      <c r="M37" s="155"/>
      <c r="N37" s="105" t="s">
        <v>117</v>
      </c>
      <c r="O37" s="156"/>
      <c r="P37" s="156"/>
      <c r="Q37" s="156"/>
    </row>
    <row r="38" spans="3:8" ht="15">
      <c r="C38" s="246"/>
      <c r="F38" s="189"/>
      <c r="G38" s="189"/>
      <c r="H38" s="188"/>
    </row>
    <row r="43" ht="15">
      <c r="Q43" s="4" t="s">
        <v>119</v>
      </c>
    </row>
  </sheetData>
  <sheetProtection/>
  <mergeCells count="43">
    <mergeCell ref="F25:G25"/>
    <mergeCell ref="F13:G13"/>
    <mergeCell ref="F14:G14"/>
    <mergeCell ref="F15:G15"/>
    <mergeCell ref="F16:G16"/>
    <mergeCell ref="F17:G17"/>
    <mergeCell ref="F18:G18"/>
    <mergeCell ref="F19:G19"/>
    <mergeCell ref="F20:G20"/>
    <mergeCell ref="F26:G26"/>
    <mergeCell ref="E10:E11"/>
    <mergeCell ref="B9:B11"/>
    <mergeCell ref="C9:C11"/>
    <mergeCell ref="D10:D11"/>
    <mergeCell ref="D9:E9"/>
    <mergeCell ref="F21:G21"/>
    <mergeCell ref="F22:G22"/>
    <mergeCell ref="F23:G23"/>
    <mergeCell ref="F24:G24"/>
    <mergeCell ref="H9:H11"/>
    <mergeCell ref="F9:G9"/>
    <mergeCell ref="F10:F11"/>
    <mergeCell ref="G10:G11"/>
    <mergeCell ref="N1:P1"/>
    <mergeCell ref="A2:P2"/>
    <mergeCell ref="A4:P4"/>
    <mergeCell ref="A6:P6"/>
    <mergeCell ref="Q10:Q12"/>
    <mergeCell ref="A9:A11"/>
    <mergeCell ref="I9:I11"/>
    <mergeCell ref="K9:P9"/>
    <mergeCell ref="J9:J11"/>
    <mergeCell ref="K10:K11"/>
    <mergeCell ref="L10:L11"/>
    <mergeCell ref="M10:M11"/>
    <mergeCell ref="P10:P11"/>
    <mergeCell ref="N10:O10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6"/>
  <sheetViews>
    <sheetView view="pageBreakPreview" zoomScale="85" zoomScaleNormal="85" zoomScaleSheetLayoutView="85" zoomScalePageLayoutView="0" workbookViewId="0" topLeftCell="AL1">
      <pane ySplit="12" topLeftCell="BM13" activePane="bottomLeft" state="frozen"/>
      <selection pane="topLeft" activeCell="I17" sqref="I17"/>
      <selection pane="bottomLeft" activeCell="BE14" sqref="BE14:BF14"/>
    </sheetView>
  </sheetViews>
  <sheetFormatPr defaultColWidth="9.140625" defaultRowHeight="15"/>
  <cols>
    <col min="1" max="1" width="4.140625" style="52" customWidth="1"/>
    <col min="2" max="2" width="18.57421875" style="72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5742187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78" t="s">
        <v>110</v>
      </c>
      <c r="R1" s="378"/>
      <c r="S1" s="378"/>
      <c r="T1" s="378"/>
      <c r="AJ1" s="378" t="s">
        <v>110</v>
      </c>
      <c r="AK1" s="378"/>
      <c r="AL1" s="378"/>
      <c r="AM1" s="49"/>
      <c r="AN1" s="49"/>
      <c r="BH1" s="378" t="s">
        <v>110</v>
      </c>
      <c r="BI1" s="378"/>
      <c r="BJ1" s="378"/>
    </row>
    <row r="2" spans="1:62" s="50" customFormat="1" ht="22.5" customHeight="1">
      <c r="A2" s="362" t="s">
        <v>138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 t="s">
        <v>138</v>
      </c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 t="s">
        <v>138</v>
      </c>
      <c r="AN2" s="362"/>
      <c r="AO2" s="362"/>
      <c r="AP2" s="362"/>
      <c r="AQ2" s="362"/>
      <c r="AR2" s="362"/>
      <c r="AS2" s="362"/>
      <c r="AT2" s="362"/>
      <c r="AU2" s="362"/>
      <c r="AV2" s="362"/>
      <c r="AW2" s="362"/>
      <c r="AX2" s="362"/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63" t="s">
        <v>37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 t="s">
        <v>37</v>
      </c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3"/>
      <c r="AM4" s="363" t="s">
        <v>37</v>
      </c>
      <c r="AN4" s="363"/>
      <c r="AO4" s="363"/>
      <c r="AP4" s="363"/>
      <c r="AQ4" s="363"/>
      <c r="AR4" s="363"/>
      <c r="AS4" s="363"/>
      <c r="AT4" s="363"/>
      <c r="AU4" s="363"/>
      <c r="AV4" s="363"/>
      <c r="AW4" s="363"/>
      <c r="AX4" s="363"/>
      <c r="AY4" s="363"/>
      <c r="AZ4" s="363"/>
      <c r="BA4" s="363"/>
      <c r="BB4" s="363"/>
      <c r="BC4" s="363"/>
      <c r="BD4" s="363"/>
      <c r="BE4" s="363"/>
      <c r="BF4" s="363"/>
      <c r="BG4" s="363"/>
      <c r="BH4" s="363"/>
      <c r="BI4" s="363"/>
      <c r="BJ4" s="363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64" t="s">
        <v>141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 t="s">
        <v>141</v>
      </c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 t="s">
        <v>141</v>
      </c>
      <c r="AN6" s="364"/>
      <c r="AO6" s="364"/>
      <c r="AP6" s="364"/>
      <c r="AQ6" s="364"/>
      <c r="AR6" s="364"/>
      <c r="AS6" s="364"/>
      <c r="AT6" s="364"/>
      <c r="AU6" s="364"/>
      <c r="AV6" s="364"/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</row>
    <row r="7" spans="1:2" ht="13.5" customHeight="1">
      <c r="A7" s="54"/>
      <c r="B7" s="54"/>
    </row>
    <row r="8" spans="1:2" ht="21" customHeight="1">
      <c r="A8" s="56" t="s">
        <v>38</v>
      </c>
      <c r="B8" s="54"/>
    </row>
    <row r="9" spans="2:62" ht="20.25">
      <c r="B9" s="52"/>
      <c r="C9" s="373">
        <v>1</v>
      </c>
      <c r="D9" s="373"/>
      <c r="E9" s="373"/>
      <c r="F9" s="373"/>
      <c r="G9" s="373"/>
      <c r="H9" s="373"/>
      <c r="I9" s="373">
        <v>2</v>
      </c>
      <c r="J9" s="373"/>
      <c r="K9" s="373"/>
      <c r="L9" s="373"/>
      <c r="M9" s="373"/>
      <c r="N9" s="373"/>
      <c r="O9" s="373">
        <v>3</v>
      </c>
      <c r="P9" s="373"/>
      <c r="Q9" s="373"/>
      <c r="R9" s="373"/>
      <c r="S9" s="373"/>
      <c r="T9" s="373"/>
      <c r="U9" s="373">
        <v>4</v>
      </c>
      <c r="V9" s="373"/>
      <c r="W9" s="373"/>
      <c r="X9" s="373"/>
      <c r="Y9" s="373"/>
      <c r="Z9" s="373"/>
      <c r="AA9" s="373">
        <v>5</v>
      </c>
      <c r="AB9" s="373"/>
      <c r="AC9" s="373"/>
      <c r="AD9" s="373"/>
      <c r="AE9" s="373"/>
      <c r="AF9" s="373"/>
      <c r="AG9" s="366">
        <v>6</v>
      </c>
      <c r="AH9" s="366"/>
      <c r="AI9" s="366"/>
      <c r="AJ9" s="366"/>
      <c r="AK9" s="366"/>
      <c r="AL9" s="366"/>
      <c r="AM9" s="366">
        <v>7</v>
      </c>
      <c r="AN9" s="366"/>
      <c r="AO9" s="366"/>
      <c r="AP9" s="366"/>
      <c r="AQ9" s="366"/>
      <c r="AR9" s="366"/>
      <c r="AS9" s="366">
        <v>8</v>
      </c>
      <c r="AT9" s="366"/>
      <c r="AU9" s="366"/>
      <c r="AV9" s="366"/>
      <c r="AW9" s="366"/>
      <c r="AX9" s="366"/>
      <c r="AY9" s="366">
        <v>9</v>
      </c>
      <c r="AZ9" s="366"/>
      <c r="BA9" s="366"/>
      <c r="BB9" s="366"/>
      <c r="BC9" s="366"/>
      <c r="BD9" s="366"/>
      <c r="BE9" s="365">
        <v>10</v>
      </c>
      <c r="BF9" s="365"/>
      <c r="BG9" s="365"/>
      <c r="BH9" s="365"/>
      <c r="BI9" s="365"/>
      <c r="BJ9" s="365"/>
    </row>
    <row r="10" spans="1:62" s="57" customFormat="1" ht="22.5" customHeight="1">
      <c r="A10" s="367" t="s">
        <v>0</v>
      </c>
      <c r="B10" s="370" t="s">
        <v>111</v>
      </c>
      <c r="C10" s="357" t="s">
        <v>58</v>
      </c>
      <c r="D10" s="357"/>
      <c r="E10" s="357"/>
      <c r="F10" s="357"/>
      <c r="G10" s="357"/>
      <c r="H10" s="357"/>
      <c r="I10" s="374" t="s">
        <v>59</v>
      </c>
      <c r="J10" s="375"/>
      <c r="K10" s="375"/>
      <c r="L10" s="375"/>
      <c r="M10" s="375"/>
      <c r="N10" s="376"/>
      <c r="O10" s="374" t="s">
        <v>60</v>
      </c>
      <c r="P10" s="375"/>
      <c r="Q10" s="375"/>
      <c r="R10" s="375"/>
      <c r="S10" s="375"/>
      <c r="T10" s="376"/>
      <c r="U10" s="374" t="s">
        <v>112</v>
      </c>
      <c r="V10" s="375"/>
      <c r="W10" s="375"/>
      <c r="X10" s="375"/>
      <c r="Y10" s="375"/>
      <c r="Z10" s="375"/>
      <c r="AA10" s="374" t="s">
        <v>61</v>
      </c>
      <c r="AB10" s="375"/>
      <c r="AC10" s="375"/>
      <c r="AD10" s="375"/>
      <c r="AE10" s="375"/>
      <c r="AF10" s="375"/>
      <c r="AG10" s="357" t="s">
        <v>62</v>
      </c>
      <c r="AH10" s="357"/>
      <c r="AI10" s="357"/>
      <c r="AJ10" s="357"/>
      <c r="AK10" s="357"/>
      <c r="AL10" s="357"/>
      <c r="AM10" s="357" t="s">
        <v>63</v>
      </c>
      <c r="AN10" s="357"/>
      <c r="AO10" s="357"/>
      <c r="AP10" s="357"/>
      <c r="AQ10" s="357"/>
      <c r="AR10" s="357"/>
      <c r="AS10" s="357" t="s">
        <v>64</v>
      </c>
      <c r="AT10" s="357"/>
      <c r="AU10" s="357"/>
      <c r="AV10" s="357"/>
      <c r="AW10" s="357"/>
      <c r="AX10" s="357"/>
      <c r="AY10" s="357" t="s">
        <v>65</v>
      </c>
      <c r="AZ10" s="357"/>
      <c r="BA10" s="357"/>
      <c r="BB10" s="357"/>
      <c r="BC10" s="357"/>
      <c r="BD10" s="357"/>
      <c r="BE10" s="357" t="s">
        <v>116</v>
      </c>
      <c r="BF10" s="357"/>
      <c r="BG10" s="357"/>
      <c r="BH10" s="357"/>
      <c r="BI10" s="357"/>
      <c r="BJ10" s="357"/>
    </row>
    <row r="11" spans="1:62" s="57" customFormat="1" ht="28.5" customHeight="1">
      <c r="A11" s="368"/>
      <c r="B11" s="371"/>
      <c r="C11" s="357" t="s">
        <v>66</v>
      </c>
      <c r="D11" s="357"/>
      <c r="E11" s="357"/>
      <c r="F11" s="357" t="s">
        <v>67</v>
      </c>
      <c r="G11" s="357"/>
      <c r="H11" s="357"/>
      <c r="I11" s="357" t="s">
        <v>66</v>
      </c>
      <c r="J11" s="357"/>
      <c r="K11" s="357"/>
      <c r="L11" s="357" t="s">
        <v>67</v>
      </c>
      <c r="M11" s="357"/>
      <c r="N11" s="357"/>
      <c r="O11" s="357" t="s">
        <v>66</v>
      </c>
      <c r="P11" s="357"/>
      <c r="Q11" s="357"/>
      <c r="R11" s="357" t="s">
        <v>67</v>
      </c>
      <c r="S11" s="357"/>
      <c r="T11" s="357"/>
      <c r="U11" s="357" t="s">
        <v>66</v>
      </c>
      <c r="V11" s="357"/>
      <c r="W11" s="357"/>
      <c r="X11" s="357" t="s">
        <v>67</v>
      </c>
      <c r="Y11" s="357"/>
      <c r="Z11" s="357"/>
      <c r="AA11" s="357" t="s">
        <v>66</v>
      </c>
      <c r="AB11" s="357"/>
      <c r="AC11" s="357"/>
      <c r="AD11" s="357" t="s">
        <v>67</v>
      </c>
      <c r="AE11" s="357"/>
      <c r="AF11" s="357"/>
      <c r="AG11" s="357" t="s">
        <v>66</v>
      </c>
      <c r="AH11" s="357"/>
      <c r="AI11" s="357"/>
      <c r="AJ11" s="357" t="s">
        <v>67</v>
      </c>
      <c r="AK11" s="357"/>
      <c r="AL11" s="357"/>
      <c r="AM11" s="357" t="s">
        <v>66</v>
      </c>
      <c r="AN11" s="357"/>
      <c r="AO11" s="357"/>
      <c r="AP11" s="357" t="s">
        <v>67</v>
      </c>
      <c r="AQ11" s="357"/>
      <c r="AR11" s="357"/>
      <c r="AS11" s="357" t="s">
        <v>66</v>
      </c>
      <c r="AT11" s="357"/>
      <c r="AU11" s="357"/>
      <c r="AV11" s="357" t="s">
        <v>67</v>
      </c>
      <c r="AW11" s="357"/>
      <c r="AX11" s="357"/>
      <c r="AY11" s="357" t="s">
        <v>66</v>
      </c>
      <c r="AZ11" s="357"/>
      <c r="BA11" s="357"/>
      <c r="BB11" s="357" t="s">
        <v>67</v>
      </c>
      <c r="BC11" s="357"/>
      <c r="BD11" s="357"/>
      <c r="BE11" s="357" t="s">
        <v>66</v>
      </c>
      <c r="BF11" s="357"/>
      <c r="BG11" s="357"/>
      <c r="BH11" s="357" t="s">
        <v>67</v>
      </c>
      <c r="BI11" s="357"/>
      <c r="BJ11" s="357"/>
    </row>
    <row r="12" spans="1:62" s="58" customFormat="1" ht="28.5" customHeight="1">
      <c r="A12" s="369"/>
      <c r="B12" s="372"/>
      <c r="C12" s="356" t="s">
        <v>68</v>
      </c>
      <c r="D12" s="356"/>
      <c r="E12" s="360" t="s">
        <v>69</v>
      </c>
      <c r="F12" s="356" t="s">
        <v>68</v>
      </c>
      <c r="G12" s="356"/>
      <c r="H12" s="360" t="s">
        <v>69</v>
      </c>
      <c r="I12" s="356" t="s">
        <v>68</v>
      </c>
      <c r="J12" s="356"/>
      <c r="K12" s="360" t="s">
        <v>69</v>
      </c>
      <c r="L12" s="356" t="s">
        <v>68</v>
      </c>
      <c r="M12" s="356"/>
      <c r="N12" s="360" t="s">
        <v>69</v>
      </c>
      <c r="O12" s="356" t="s">
        <v>68</v>
      </c>
      <c r="P12" s="356"/>
      <c r="Q12" s="360" t="s">
        <v>69</v>
      </c>
      <c r="R12" s="356" t="s">
        <v>68</v>
      </c>
      <c r="S12" s="356"/>
      <c r="T12" s="360" t="s">
        <v>69</v>
      </c>
      <c r="U12" s="356" t="s">
        <v>68</v>
      </c>
      <c r="V12" s="356"/>
      <c r="W12" s="360" t="s">
        <v>69</v>
      </c>
      <c r="X12" s="356" t="s">
        <v>68</v>
      </c>
      <c r="Y12" s="356"/>
      <c r="Z12" s="360" t="s">
        <v>69</v>
      </c>
      <c r="AA12" s="356" t="s">
        <v>68</v>
      </c>
      <c r="AB12" s="356"/>
      <c r="AC12" s="360" t="s">
        <v>69</v>
      </c>
      <c r="AD12" s="356" t="s">
        <v>68</v>
      </c>
      <c r="AE12" s="356"/>
      <c r="AF12" s="360" t="s">
        <v>69</v>
      </c>
      <c r="AG12" s="356" t="s">
        <v>68</v>
      </c>
      <c r="AH12" s="356"/>
      <c r="AI12" s="360" t="s">
        <v>69</v>
      </c>
      <c r="AJ12" s="356" t="s">
        <v>68</v>
      </c>
      <c r="AK12" s="356"/>
      <c r="AL12" s="360" t="s">
        <v>69</v>
      </c>
      <c r="AM12" s="356" t="s">
        <v>68</v>
      </c>
      <c r="AN12" s="356"/>
      <c r="AO12" s="360" t="s">
        <v>69</v>
      </c>
      <c r="AP12" s="356" t="s">
        <v>68</v>
      </c>
      <c r="AQ12" s="356"/>
      <c r="AR12" s="360" t="s">
        <v>69</v>
      </c>
      <c r="AS12" s="356" t="s">
        <v>68</v>
      </c>
      <c r="AT12" s="356"/>
      <c r="AU12" s="360" t="s">
        <v>69</v>
      </c>
      <c r="AV12" s="356" t="s">
        <v>68</v>
      </c>
      <c r="AW12" s="356"/>
      <c r="AX12" s="360" t="s">
        <v>69</v>
      </c>
      <c r="AY12" s="356" t="s">
        <v>68</v>
      </c>
      <c r="AZ12" s="356"/>
      <c r="BA12" s="360" t="s">
        <v>69</v>
      </c>
      <c r="BB12" s="356" t="s">
        <v>68</v>
      </c>
      <c r="BC12" s="356"/>
      <c r="BD12" s="360" t="s">
        <v>69</v>
      </c>
      <c r="BE12" s="356" t="s">
        <v>68</v>
      </c>
      <c r="BF12" s="356"/>
      <c r="BG12" s="360" t="s">
        <v>69</v>
      </c>
      <c r="BH12" s="356" t="s">
        <v>68</v>
      </c>
      <c r="BI12" s="356"/>
      <c r="BJ12" s="360" t="s">
        <v>69</v>
      </c>
    </row>
    <row r="13" spans="1:62" s="62" customFormat="1" ht="13.5" customHeight="1">
      <c r="A13" s="59"/>
      <c r="B13" s="60"/>
      <c r="C13" s="61" t="s">
        <v>70</v>
      </c>
      <c r="D13" s="61" t="s">
        <v>71</v>
      </c>
      <c r="E13" s="361"/>
      <c r="F13" s="61" t="s">
        <v>70</v>
      </c>
      <c r="G13" s="61" t="s">
        <v>71</v>
      </c>
      <c r="H13" s="361"/>
      <c r="I13" s="61" t="s">
        <v>70</v>
      </c>
      <c r="J13" s="61" t="s">
        <v>72</v>
      </c>
      <c r="K13" s="361"/>
      <c r="L13" s="61" t="s">
        <v>70</v>
      </c>
      <c r="M13" s="61" t="s">
        <v>72</v>
      </c>
      <c r="N13" s="361"/>
      <c r="O13" s="61" t="s">
        <v>70</v>
      </c>
      <c r="P13" s="61" t="s">
        <v>73</v>
      </c>
      <c r="Q13" s="361"/>
      <c r="R13" s="61" t="s">
        <v>70</v>
      </c>
      <c r="S13" s="61" t="s">
        <v>73</v>
      </c>
      <c r="T13" s="361"/>
      <c r="U13" s="61" t="s">
        <v>70</v>
      </c>
      <c r="V13" s="61" t="s">
        <v>113</v>
      </c>
      <c r="W13" s="361"/>
      <c r="X13" s="61" t="s">
        <v>70</v>
      </c>
      <c r="Y13" s="61" t="s">
        <v>113</v>
      </c>
      <c r="Z13" s="361"/>
      <c r="AA13" s="61" t="s">
        <v>70</v>
      </c>
      <c r="AB13" s="61" t="s">
        <v>71</v>
      </c>
      <c r="AC13" s="361"/>
      <c r="AD13" s="61" t="s">
        <v>70</v>
      </c>
      <c r="AE13" s="61" t="s">
        <v>71</v>
      </c>
      <c r="AF13" s="361"/>
      <c r="AG13" s="61" t="s">
        <v>70</v>
      </c>
      <c r="AH13" s="61" t="s">
        <v>72</v>
      </c>
      <c r="AI13" s="361"/>
      <c r="AJ13" s="61" t="s">
        <v>70</v>
      </c>
      <c r="AK13" s="61" t="s">
        <v>72</v>
      </c>
      <c r="AL13" s="361"/>
      <c r="AM13" s="61" t="s">
        <v>70</v>
      </c>
      <c r="AN13" s="61" t="s">
        <v>73</v>
      </c>
      <c r="AO13" s="361"/>
      <c r="AP13" s="61" t="s">
        <v>70</v>
      </c>
      <c r="AQ13" s="61" t="s">
        <v>73</v>
      </c>
      <c r="AR13" s="361"/>
      <c r="AS13" s="61" t="s">
        <v>70</v>
      </c>
      <c r="AT13" s="61" t="s">
        <v>73</v>
      </c>
      <c r="AU13" s="361"/>
      <c r="AV13" s="61" t="s">
        <v>70</v>
      </c>
      <c r="AW13" s="61" t="s">
        <v>73</v>
      </c>
      <c r="AX13" s="361"/>
      <c r="AY13" s="358" t="s">
        <v>70</v>
      </c>
      <c r="AZ13" s="359"/>
      <c r="BA13" s="361"/>
      <c r="BB13" s="358" t="s">
        <v>70</v>
      </c>
      <c r="BC13" s="359"/>
      <c r="BD13" s="361"/>
      <c r="BE13" s="358" t="s">
        <v>70</v>
      </c>
      <c r="BF13" s="359"/>
      <c r="BG13" s="361"/>
      <c r="BH13" s="358" t="s">
        <v>70</v>
      </c>
      <c r="BI13" s="359"/>
      <c r="BJ13" s="361"/>
    </row>
    <row r="14" spans="1:65" s="69" customFormat="1" ht="90" customHeight="1">
      <c r="A14" s="63"/>
      <c r="B14" s="64" t="s">
        <v>114</v>
      </c>
      <c r="C14" s="65">
        <v>423</v>
      </c>
      <c r="D14" s="66">
        <v>701775.60274</v>
      </c>
      <c r="E14" s="66">
        <v>321.9421128001347</v>
      </c>
      <c r="F14" s="257">
        <v>565</v>
      </c>
      <c r="G14" s="66">
        <v>829711.4171013995</v>
      </c>
      <c r="H14" s="66">
        <v>301.34643</v>
      </c>
      <c r="I14" s="65">
        <v>51</v>
      </c>
      <c r="J14" s="66">
        <v>220.634999999988</v>
      </c>
      <c r="K14" s="66">
        <v>38.52278013819741</v>
      </c>
      <c r="L14" s="257">
        <v>383</v>
      </c>
      <c r="M14" s="66">
        <v>1608.6414054054055</v>
      </c>
      <c r="N14" s="66">
        <v>251.10780011885447</v>
      </c>
      <c r="O14" s="65">
        <v>247</v>
      </c>
      <c r="P14" s="66">
        <v>307.1546921858823</v>
      </c>
      <c r="Q14" s="66">
        <v>210.52506987728867</v>
      </c>
      <c r="R14" s="257">
        <v>351</v>
      </c>
      <c r="S14" s="66">
        <v>480.07158</v>
      </c>
      <c r="T14" s="66">
        <v>175.47942794479158</v>
      </c>
      <c r="U14" s="65">
        <v>69</v>
      </c>
      <c r="V14" s="66">
        <v>146.73115384615386</v>
      </c>
      <c r="W14" s="66">
        <v>36.91607560675476</v>
      </c>
      <c r="X14" s="257">
        <v>158</v>
      </c>
      <c r="Y14" s="66">
        <v>319.940705882353</v>
      </c>
      <c r="Z14" s="66">
        <v>53.70809193576725</v>
      </c>
      <c r="AA14" s="66">
        <v>121</v>
      </c>
      <c r="AB14" s="66">
        <v>85838.1682539681</v>
      </c>
      <c r="AC14" s="66">
        <v>96.12382665588274</v>
      </c>
      <c r="AD14" s="258">
        <v>126</v>
      </c>
      <c r="AE14" s="66">
        <v>94190.775</v>
      </c>
      <c r="AF14" s="66">
        <v>63.64987995113971</v>
      </c>
      <c r="AG14" s="65">
        <v>531</v>
      </c>
      <c r="AH14" s="66">
        <v>1664.1366268217373</v>
      </c>
      <c r="AI14" s="66">
        <v>590.2817308674322</v>
      </c>
      <c r="AJ14" s="257">
        <v>964</v>
      </c>
      <c r="AK14" s="66">
        <v>3215.665</v>
      </c>
      <c r="AL14" s="66">
        <v>675.618132744394</v>
      </c>
      <c r="AM14" s="65">
        <v>299</v>
      </c>
      <c r="AN14" s="66">
        <v>250.54134019292243</v>
      </c>
      <c r="AO14" s="66">
        <v>448.2234436050058</v>
      </c>
      <c r="AP14" s="257">
        <v>506</v>
      </c>
      <c r="AQ14" s="66">
        <v>312.7018317382505</v>
      </c>
      <c r="AR14" s="66">
        <v>692.0853047382204</v>
      </c>
      <c r="AS14" s="65">
        <v>901</v>
      </c>
      <c r="AT14" s="66">
        <v>1474.666860668909</v>
      </c>
      <c r="AU14" s="66">
        <f>933.071852078493+84.67645</f>
        <v>1017.748302078493</v>
      </c>
      <c r="AV14" s="257">
        <v>1302</v>
      </c>
      <c r="AW14" s="66">
        <v>655.828048812217</v>
      </c>
      <c r="AX14" s="66">
        <v>1656.14552326126</v>
      </c>
      <c r="AY14" s="67">
        <v>0</v>
      </c>
      <c r="AZ14" s="68">
        <v>0</v>
      </c>
      <c r="BA14" s="68">
        <v>0</v>
      </c>
      <c r="BB14" s="67">
        <v>0</v>
      </c>
      <c r="BC14" s="68">
        <v>0</v>
      </c>
      <c r="BD14" s="68">
        <v>0</v>
      </c>
      <c r="BE14" s="355">
        <f>SUM(C14,I14,O14,U14,AA14,AG14,AM14,AS14,AY14)</f>
        <v>2642</v>
      </c>
      <c r="BF14" s="355"/>
      <c r="BG14" s="66">
        <f>SUM(E14,K14,Q14,W14,AC14,AI14,AO14,AU14,BA14)</f>
        <v>2760.283341629189</v>
      </c>
      <c r="BH14" s="355">
        <f>SUM(F14,L14,R14,X14,AD14,AJ14,AP14,AV14,BB14)</f>
        <v>4355</v>
      </c>
      <c r="BI14" s="355"/>
      <c r="BJ14" s="66">
        <f>SUM(H14,N14,T14,Z14,AF14,AL14,AR14,AX14,BD14)</f>
        <v>3869.1405906944274</v>
      </c>
      <c r="BK14" s="248">
        <f>BG14+BJ14</f>
        <v>6629.423932323616</v>
      </c>
      <c r="BL14" s="69">
        <f>SUM('Part-II'!K30:M30)</f>
        <v>6629.423929999999</v>
      </c>
      <c r="BM14" s="312">
        <f>BL14-BK14</f>
        <v>-2.323617081856355E-06</v>
      </c>
    </row>
    <row r="15" spans="2:63" s="304" customFormat="1" ht="60" customHeight="1">
      <c r="B15" s="305"/>
      <c r="D15" s="71"/>
      <c r="G15" s="71"/>
      <c r="J15" s="71"/>
      <c r="M15" s="71"/>
      <c r="P15" s="71"/>
      <c r="S15" s="71"/>
      <c r="V15" s="71"/>
      <c r="Y15" s="71"/>
      <c r="AB15" s="71"/>
      <c r="AE15" s="71"/>
      <c r="AH15" s="71"/>
      <c r="AK15" s="71"/>
      <c r="AN15" s="71"/>
      <c r="AQ15" s="71"/>
      <c r="AT15" s="71"/>
      <c r="AW15" s="71"/>
      <c r="BE15" s="306"/>
      <c r="BF15" s="307"/>
      <c r="BG15" s="71"/>
      <c r="BH15" s="306"/>
      <c r="BI15" s="306"/>
      <c r="BJ15" s="71"/>
      <c r="BK15" s="248"/>
    </row>
    <row r="16" spans="2:63" s="291" customFormat="1" ht="62.25" customHeight="1">
      <c r="B16" s="297"/>
      <c r="C16" s="304"/>
      <c r="D16" s="71"/>
      <c r="E16" s="304"/>
      <c r="F16" s="304"/>
      <c r="G16" s="71"/>
      <c r="H16" s="304"/>
      <c r="I16" s="304"/>
      <c r="J16" s="71"/>
      <c r="K16" s="304"/>
      <c r="L16" s="304"/>
      <c r="M16" s="71"/>
      <c r="N16" s="304"/>
      <c r="O16" s="304"/>
      <c r="P16" s="71"/>
      <c r="Q16" s="304"/>
      <c r="R16" s="304"/>
      <c r="S16" s="71"/>
      <c r="T16" s="304"/>
      <c r="U16" s="304"/>
      <c r="V16" s="71"/>
      <c r="W16" s="304"/>
      <c r="X16" s="304"/>
      <c r="Y16" s="71"/>
      <c r="Z16" s="304"/>
      <c r="AA16" s="304"/>
      <c r="AB16" s="71"/>
      <c r="AC16" s="304"/>
      <c r="AD16" s="304"/>
      <c r="AE16" s="71"/>
      <c r="AF16" s="304"/>
      <c r="AG16" s="304"/>
      <c r="AH16" s="71"/>
      <c r="AI16" s="304"/>
      <c r="AJ16" s="304"/>
      <c r="AK16" s="71"/>
      <c r="AL16" s="304"/>
      <c r="AM16" s="304"/>
      <c r="AN16" s="71"/>
      <c r="AO16" s="304"/>
      <c r="AP16" s="304"/>
      <c r="AQ16" s="71"/>
      <c r="AR16" s="304"/>
      <c r="AS16" s="70"/>
      <c r="AT16" s="71"/>
      <c r="AU16" s="304"/>
      <c r="AV16" s="70"/>
      <c r="AW16" s="71"/>
      <c r="AX16" s="304"/>
      <c r="AY16" s="298"/>
      <c r="BE16" s="103"/>
      <c r="BF16" s="299"/>
      <c r="BG16" s="71"/>
      <c r="BH16" s="299"/>
      <c r="BI16" s="300"/>
      <c r="BJ16" s="71"/>
      <c r="BK16" s="248"/>
    </row>
    <row r="17" spans="44:62" s="74" customFormat="1" ht="18.75">
      <c r="AR17" s="297"/>
      <c r="AS17" s="297"/>
      <c r="AT17" s="297"/>
      <c r="AU17" s="297"/>
      <c r="AV17" s="297"/>
      <c r="AW17" s="297"/>
      <c r="AX17" s="297"/>
      <c r="AY17" s="193"/>
      <c r="AZ17" s="193"/>
      <c r="BA17" s="193"/>
      <c r="BE17" s="105"/>
      <c r="BF17" s="75"/>
      <c r="BG17" s="75"/>
      <c r="BH17" s="75"/>
      <c r="BI17" s="75"/>
      <c r="BJ17" s="75"/>
    </row>
    <row r="18" spans="2:62" s="308" customFormat="1" ht="18.75">
      <c r="B18" s="192"/>
      <c r="AR18" s="313"/>
      <c r="AS18" s="313"/>
      <c r="AT18" s="313"/>
      <c r="AU18" s="313"/>
      <c r="AV18" s="313"/>
      <c r="AW18" s="313"/>
      <c r="AX18" s="313"/>
      <c r="AZ18" s="309"/>
      <c r="BA18" s="309"/>
      <c r="BE18" s="103" t="s">
        <v>134</v>
      </c>
      <c r="BF18" s="310"/>
      <c r="BG18" s="310"/>
      <c r="BH18" s="310"/>
      <c r="BI18" s="311"/>
      <c r="BJ18" s="311"/>
    </row>
    <row r="19" spans="34:57" s="73" customFormat="1" ht="15.75">
      <c r="AH19" s="308"/>
      <c r="AK19" s="308"/>
      <c r="AR19" s="291"/>
      <c r="AS19" s="291"/>
      <c r="AT19" s="291"/>
      <c r="AU19" s="291"/>
      <c r="AV19" s="291"/>
      <c r="AW19" s="291"/>
      <c r="AX19" s="291"/>
      <c r="BE19" s="105" t="s">
        <v>135</v>
      </c>
    </row>
    <row r="20" spans="3:57" ht="16.5">
      <c r="C20" s="73"/>
      <c r="E20" s="73"/>
      <c r="F20" s="73"/>
      <c r="G20" s="73"/>
      <c r="I20" s="73"/>
      <c r="K20" s="73"/>
      <c r="L20" s="73"/>
      <c r="M20" s="73"/>
      <c r="O20" s="73"/>
      <c r="Q20" s="73"/>
      <c r="R20" s="73"/>
      <c r="S20" s="73"/>
      <c r="U20" s="73"/>
      <c r="W20" s="73"/>
      <c r="X20" s="73"/>
      <c r="Y20" s="73"/>
      <c r="AA20" s="73"/>
      <c r="AC20" s="73"/>
      <c r="AD20" s="73"/>
      <c r="AE20" s="73"/>
      <c r="AG20" s="73"/>
      <c r="AI20" s="73"/>
      <c r="AJ20" s="73"/>
      <c r="AK20" s="73"/>
      <c r="AM20" s="73"/>
      <c r="AO20" s="73"/>
      <c r="AP20" s="73"/>
      <c r="AQ20" s="73"/>
      <c r="AS20" s="73"/>
      <c r="AU20" s="73"/>
      <c r="AV20" s="73"/>
      <c r="AW20" s="73"/>
      <c r="BE20" s="105" t="s">
        <v>115</v>
      </c>
    </row>
    <row r="21" spans="3:57" ht="16.5">
      <c r="C21" s="73"/>
      <c r="E21" s="73"/>
      <c r="F21" s="73"/>
      <c r="G21" s="73"/>
      <c r="I21" s="73"/>
      <c r="K21" s="73"/>
      <c r="L21" s="73"/>
      <c r="M21" s="73"/>
      <c r="O21" s="73"/>
      <c r="Q21" s="73"/>
      <c r="R21" s="73"/>
      <c r="S21" s="73"/>
      <c r="U21" s="73"/>
      <c r="W21" s="73"/>
      <c r="X21" s="73"/>
      <c r="Y21" s="73"/>
      <c r="AA21" s="73"/>
      <c r="AC21" s="73"/>
      <c r="AD21" s="73"/>
      <c r="AE21" s="73"/>
      <c r="AG21" s="73"/>
      <c r="AI21" s="73"/>
      <c r="AJ21" s="73"/>
      <c r="AK21" s="73"/>
      <c r="AM21" s="73"/>
      <c r="AO21" s="73"/>
      <c r="AP21" s="73"/>
      <c r="AQ21" s="73"/>
      <c r="AS21" s="73"/>
      <c r="AU21" s="73"/>
      <c r="AV21" s="73"/>
      <c r="AW21" s="73"/>
      <c r="BE21" s="107" t="s">
        <v>136</v>
      </c>
    </row>
    <row r="22" spans="18:58" ht="15.75" customHeight="1">
      <c r="R22" s="377"/>
      <c r="S22" s="377"/>
      <c r="BE22" s="105" t="s">
        <v>117</v>
      </c>
      <c r="BF22" s="73"/>
    </row>
    <row r="23" spans="40:58" ht="15">
      <c r="AN23" s="73"/>
      <c r="AO23" s="165"/>
      <c r="AP23" s="73"/>
      <c r="AQ23" s="73"/>
      <c r="AR23" s="165"/>
      <c r="AS23" s="73"/>
      <c r="AT23" s="73"/>
      <c r="BF23" s="73"/>
    </row>
    <row r="24" spans="40:58" ht="15">
      <c r="AN24" s="73"/>
      <c r="AO24" s="165"/>
      <c r="AP24" s="73"/>
      <c r="AQ24" s="73"/>
      <c r="AR24" s="165"/>
      <c r="AS24" s="73"/>
      <c r="AT24" s="73"/>
      <c r="BF24" s="74"/>
    </row>
    <row r="25" spans="40:46" ht="15">
      <c r="AN25" s="73"/>
      <c r="AO25" s="165"/>
      <c r="AP25" s="73"/>
      <c r="AQ25" s="73"/>
      <c r="AR25" s="165"/>
      <c r="AS25" s="73"/>
      <c r="AT25" s="73"/>
    </row>
    <row r="26" spans="40:46" ht="15">
      <c r="AN26" s="73"/>
      <c r="AO26" s="165"/>
      <c r="AP26" s="73"/>
      <c r="AQ26" s="73"/>
      <c r="AR26" s="165"/>
      <c r="AS26" s="73"/>
      <c r="AT26" s="73"/>
    </row>
    <row r="27" spans="40:46" ht="15">
      <c r="AN27" s="73"/>
      <c r="AO27" s="165"/>
      <c r="AP27" s="73"/>
      <c r="AQ27" s="73"/>
      <c r="AR27" s="165"/>
      <c r="AS27" s="73"/>
      <c r="AT27" s="73"/>
    </row>
    <row r="28" spans="40:46" ht="15">
      <c r="AN28" s="73"/>
      <c r="AO28" s="165"/>
      <c r="AP28" s="73"/>
      <c r="AQ28" s="73"/>
      <c r="AR28" s="165"/>
      <c r="AS28" s="73"/>
      <c r="AT28" s="73"/>
    </row>
    <row r="29" spans="40:46" ht="15">
      <c r="AN29" s="73"/>
      <c r="AO29" s="165"/>
      <c r="AP29" s="73"/>
      <c r="AQ29" s="73"/>
      <c r="AR29" s="165"/>
      <c r="AS29" s="73"/>
      <c r="AT29" s="73"/>
    </row>
    <row r="30" spans="40:46" ht="15">
      <c r="AN30" s="73"/>
      <c r="AO30" s="165"/>
      <c r="AP30" s="73"/>
      <c r="AQ30" s="73"/>
      <c r="AR30" s="165"/>
      <c r="AS30" s="73"/>
      <c r="AT30" s="73"/>
    </row>
    <row r="31" spans="40:46" ht="15">
      <c r="AN31" s="73"/>
      <c r="AO31" s="165"/>
      <c r="AP31" s="73"/>
      <c r="AQ31" s="73"/>
      <c r="AR31" s="165"/>
      <c r="AS31" s="73"/>
      <c r="AT31" s="73"/>
    </row>
    <row r="32" spans="40:46" ht="15">
      <c r="AN32" s="73"/>
      <c r="AO32" s="165"/>
      <c r="AP32" s="73"/>
      <c r="AQ32" s="73"/>
      <c r="AR32" s="165"/>
      <c r="AS32" s="73"/>
      <c r="AT32" s="73"/>
    </row>
    <row r="33" spans="40:46" ht="15">
      <c r="AN33" s="73"/>
      <c r="AO33" s="165"/>
      <c r="AP33" s="73"/>
      <c r="AQ33" s="73"/>
      <c r="AR33" s="165"/>
      <c r="AS33" s="73"/>
      <c r="AT33" s="73"/>
    </row>
    <row r="34" spans="40:46" ht="15">
      <c r="AN34" s="73"/>
      <c r="AO34" s="165"/>
      <c r="AP34" s="73"/>
      <c r="AQ34" s="73"/>
      <c r="AR34" s="165"/>
      <c r="AS34" s="73"/>
      <c r="AT34" s="73"/>
    </row>
    <row r="35" spans="40:46" ht="15">
      <c r="AN35" s="73"/>
      <c r="AO35" s="165"/>
      <c r="AP35" s="73"/>
      <c r="AQ35" s="73"/>
      <c r="AR35" s="165"/>
      <c r="AS35" s="73"/>
      <c r="AT35" s="73"/>
    </row>
    <row r="36" spans="40:45" ht="15">
      <c r="AN36" s="73"/>
      <c r="AO36" s="73"/>
      <c r="AP36" s="73"/>
      <c r="AQ36" s="73"/>
      <c r="AR36" s="73"/>
      <c r="AS36" s="73"/>
    </row>
  </sheetData>
  <sheetProtection/>
  <mergeCells count="101">
    <mergeCell ref="R22:S22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AU12:AU13"/>
    <mergeCell ref="BE14:BF14"/>
    <mergeCell ref="BH14:BI14"/>
    <mergeCell ref="BE12:BF12"/>
    <mergeCell ref="BE10:BJ10"/>
    <mergeCell ref="BH11:BJ11"/>
    <mergeCell ref="BH13:BI13"/>
    <mergeCell ref="BG12:BG13"/>
    <mergeCell ref="BH12:BI12"/>
    <mergeCell ref="BJ12:BJ13"/>
  </mergeCells>
  <conditionalFormatting sqref="AZ15:BA16 AO15:AP16 C15:C16 AX15:AY15 AL15:AM16 AS15 AX16 E15:F16 H15:I16 K15:L16 N15:O16 Q15:R16 T15:U16 W15:X16 Z15:AA16 AC15:AD16 AF15:AG16 AI15:AJ16 AR15:AR16 AU15:AU16 AV15">
    <cfRule type="cellIs" priority="1" dxfId="1" operator="lessThan" stopIfTrue="1">
      <formula>0</formula>
    </cfRule>
  </conditionalFormatting>
  <conditionalFormatting sqref="C20 E19:E20 A19:D19 I20 O20 U20 AA20 AG20 AM20 AS20 Q20 W20 AC20 AI20 AO20 AU20 K20 F19:BD19 BF19:IV19">
    <cfRule type="cellIs" priority="2" dxfId="0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1" man="1"/>
    <brk id="38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25" sqref="B25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80" t="s">
        <v>77</v>
      </c>
      <c r="L1" s="380"/>
    </row>
    <row r="2" spans="1:12" ht="23.25">
      <c r="A2" s="381" t="s">
        <v>138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82" t="s">
        <v>37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</row>
    <row r="5" ht="11.25" customHeight="1"/>
    <row r="6" spans="1:12" ht="18.75">
      <c r="A6" s="383" t="s">
        <v>142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</row>
    <row r="8" spans="1:12" ht="77.25" customHeight="1">
      <c r="A8" s="379" t="s">
        <v>0</v>
      </c>
      <c r="B8" s="379" t="s">
        <v>40</v>
      </c>
      <c r="C8" s="379" t="s">
        <v>74</v>
      </c>
      <c r="D8" s="379"/>
      <c r="E8" s="379" t="s">
        <v>78</v>
      </c>
      <c r="F8" s="379"/>
      <c r="G8" s="379" t="s">
        <v>79</v>
      </c>
      <c r="H8" s="379"/>
      <c r="I8" s="379" t="s">
        <v>80</v>
      </c>
      <c r="J8" s="379"/>
      <c r="K8" s="379" t="s">
        <v>81</v>
      </c>
      <c r="L8" s="379"/>
    </row>
    <row r="9" spans="1:12" ht="15">
      <c r="A9" s="379"/>
      <c r="B9" s="379"/>
      <c r="C9" s="195" t="s">
        <v>75</v>
      </c>
      <c r="D9" s="195" t="s">
        <v>76</v>
      </c>
      <c r="E9" s="195" t="s">
        <v>75</v>
      </c>
      <c r="F9" s="195" t="s">
        <v>76</v>
      </c>
      <c r="G9" s="195" t="s">
        <v>75</v>
      </c>
      <c r="H9" s="195" t="s">
        <v>76</v>
      </c>
      <c r="I9" s="195" t="s">
        <v>75</v>
      </c>
      <c r="J9" s="195" t="s">
        <v>76</v>
      </c>
      <c r="K9" s="195" t="s">
        <v>75</v>
      </c>
      <c r="L9" s="195" t="s">
        <v>104</v>
      </c>
    </row>
    <row r="10" spans="1:12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</row>
    <row r="11" spans="1:14" s="38" customFormat="1" ht="18">
      <c r="A11" s="35">
        <v>1</v>
      </c>
      <c r="B11" s="36" t="s">
        <v>23</v>
      </c>
      <c r="C11" s="37">
        <v>2611</v>
      </c>
      <c r="D11" s="182">
        <v>21</v>
      </c>
      <c r="E11" s="37">
        <v>75</v>
      </c>
      <c r="F11" s="37">
        <v>1</v>
      </c>
      <c r="G11" s="37">
        <v>75</v>
      </c>
      <c r="H11" s="37">
        <v>6</v>
      </c>
      <c r="I11" s="37">
        <v>0</v>
      </c>
      <c r="J11" s="37">
        <v>0</v>
      </c>
      <c r="K11" s="37">
        <v>0</v>
      </c>
      <c r="L11" s="37">
        <v>1</v>
      </c>
      <c r="M11" s="205"/>
      <c r="N11" s="205"/>
    </row>
    <row r="12" spans="1:14" s="38" customFormat="1" ht="18">
      <c r="A12" s="35">
        <v>2</v>
      </c>
      <c r="B12" s="36" t="s">
        <v>24</v>
      </c>
      <c r="C12" s="37">
        <v>2354</v>
      </c>
      <c r="D12" s="182">
        <v>18</v>
      </c>
      <c r="E12" s="37">
        <v>79</v>
      </c>
      <c r="F12" s="37">
        <v>4</v>
      </c>
      <c r="G12" s="37">
        <v>87</v>
      </c>
      <c r="H12" s="42">
        <v>8</v>
      </c>
      <c r="I12" s="37">
        <v>0</v>
      </c>
      <c r="J12" s="37">
        <v>0</v>
      </c>
      <c r="K12" s="37">
        <v>0</v>
      </c>
      <c r="L12" s="37">
        <v>0</v>
      </c>
      <c r="M12" s="205"/>
      <c r="N12" s="205"/>
    </row>
    <row r="13" spans="1:14" s="38" customFormat="1" ht="18">
      <c r="A13" s="35">
        <v>3</v>
      </c>
      <c r="B13" s="36" t="s">
        <v>25</v>
      </c>
      <c r="C13" s="37">
        <v>8592</v>
      </c>
      <c r="D13" s="182">
        <v>55</v>
      </c>
      <c r="E13" s="37">
        <v>638</v>
      </c>
      <c r="F13" s="37">
        <v>10</v>
      </c>
      <c r="G13" s="37">
        <v>647</v>
      </c>
      <c r="H13" s="37">
        <v>12</v>
      </c>
      <c r="I13" s="37">
        <v>0</v>
      </c>
      <c r="J13" s="37">
        <v>0</v>
      </c>
      <c r="K13" s="37">
        <v>3</v>
      </c>
      <c r="L13" s="37">
        <v>0</v>
      </c>
      <c r="M13" s="205"/>
      <c r="N13" s="205"/>
    </row>
    <row r="14" spans="1:14" s="38" customFormat="1" ht="18">
      <c r="A14" s="35">
        <v>4</v>
      </c>
      <c r="B14" s="36" t="s">
        <v>26</v>
      </c>
      <c r="C14" s="37">
        <v>1814</v>
      </c>
      <c r="D14" s="182">
        <v>1391</v>
      </c>
      <c r="E14" s="37">
        <v>178</v>
      </c>
      <c r="F14" s="37">
        <v>3</v>
      </c>
      <c r="G14" s="37">
        <v>158</v>
      </c>
      <c r="H14" s="37">
        <v>6</v>
      </c>
      <c r="I14" s="37">
        <v>0</v>
      </c>
      <c r="J14" s="37">
        <v>0</v>
      </c>
      <c r="K14" s="37">
        <v>1</v>
      </c>
      <c r="L14" s="37">
        <v>1</v>
      </c>
      <c r="M14" s="205"/>
      <c r="N14" s="205"/>
    </row>
    <row r="15" spans="1:14" s="38" customFormat="1" ht="18">
      <c r="A15" s="35">
        <v>5</v>
      </c>
      <c r="B15" s="36" t="s">
        <v>27</v>
      </c>
      <c r="C15" s="37">
        <v>3352</v>
      </c>
      <c r="D15" s="182">
        <v>19</v>
      </c>
      <c r="E15" s="37">
        <v>425</v>
      </c>
      <c r="F15" s="37">
        <v>3</v>
      </c>
      <c r="G15" s="37">
        <v>398</v>
      </c>
      <c r="H15" s="37">
        <v>3</v>
      </c>
      <c r="I15" s="37">
        <v>0</v>
      </c>
      <c r="J15" s="37">
        <v>0</v>
      </c>
      <c r="K15" s="37">
        <v>0</v>
      </c>
      <c r="L15" s="37">
        <v>1</v>
      </c>
      <c r="M15" s="205"/>
      <c r="N15" s="205"/>
    </row>
    <row r="16" spans="1:14" s="38" customFormat="1" ht="18">
      <c r="A16" s="40">
        <v>6</v>
      </c>
      <c r="B16" s="41" t="s">
        <v>28</v>
      </c>
      <c r="C16" s="37">
        <v>7838</v>
      </c>
      <c r="D16" s="182">
        <v>53</v>
      </c>
      <c r="E16" s="37">
        <v>41</v>
      </c>
      <c r="F16" s="37">
        <v>1</v>
      </c>
      <c r="G16" s="37">
        <v>46</v>
      </c>
      <c r="H16" s="37">
        <v>15</v>
      </c>
      <c r="I16" s="37">
        <v>0</v>
      </c>
      <c r="J16" s="37">
        <v>0</v>
      </c>
      <c r="K16" s="37">
        <v>1</v>
      </c>
      <c r="L16" s="37">
        <v>0</v>
      </c>
      <c r="M16" s="205"/>
      <c r="N16" s="205"/>
    </row>
    <row r="17" spans="1:14" s="38" customFormat="1" ht="18">
      <c r="A17" s="35">
        <v>7</v>
      </c>
      <c r="B17" s="36" t="s">
        <v>29</v>
      </c>
      <c r="C17" s="37">
        <v>4008</v>
      </c>
      <c r="D17" s="182">
        <v>16</v>
      </c>
      <c r="E17" s="37">
        <v>171</v>
      </c>
      <c r="F17" s="37">
        <v>10</v>
      </c>
      <c r="G17" s="37">
        <v>181</v>
      </c>
      <c r="H17" s="37">
        <v>11</v>
      </c>
      <c r="I17" s="37">
        <v>0</v>
      </c>
      <c r="J17" s="37">
        <v>0</v>
      </c>
      <c r="K17" s="37">
        <v>0</v>
      </c>
      <c r="L17" s="37">
        <v>0</v>
      </c>
      <c r="M17" s="205"/>
      <c r="N17" s="205"/>
    </row>
    <row r="18" spans="1:14" s="38" customFormat="1" ht="18">
      <c r="A18" s="35">
        <v>8</v>
      </c>
      <c r="B18" s="36" t="s">
        <v>30</v>
      </c>
      <c r="C18" s="37">
        <v>4138</v>
      </c>
      <c r="D18" s="182">
        <v>11</v>
      </c>
      <c r="E18" s="37">
        <v>198</v>
      </c>
      <c r="F18" s="37">
        <v>1</v>
      </c>
      <c r="G18" s="37">
        <v>198</v>
      </c>
      <c r="H18" s="37">
        <v>6</v>
      </c>
      <c r="I18" s="37">
        <v>0</v>
      </c>
      <c r="J18" s="37">
        <v>0</v>
      </c>
      <c r="K18" s="37">
        <v>0</v>
      </c>
      <c r="L18" s="37">
        <v>0</v>
      </c>
      <c r="M18" s="205"/>
      <c r="N18" s="205"/>
    </row>
    <row r="19" spans="1:14" s="38" customFormat="1" ht="18">
      <c r="A19" s="35">
        <v>9</v>
      </c>
      <c r="B19" s="36" t="s">
        <v>31</v>
      </c>
      <c r="C19" s="37">
        <v>1300</v>
      </c>
      <c r="D19" s="182">
        <v>645</v>
      </c>
      <c r="E19" s="37">
        <v>188</v>
      </c>
      <c r="F19" s="37">
        <v>1</v>
      </c>
      <c r="G19" s="37">
        <v>168</v>
      </c>
      <c r="H19" s="37">
        <v>39</v>
      </c>
      <c r="I19" s="37">
        <v>0</v>
      </c>
      <c r="J19" s="37">
        <v>0</v>
      </c>
      <c r="K19" s="37">
        <v>1</v>
      </c>
      <c r="L19" s="37">
        <v>1</v>
      </c>
      <c r="M19" s="205"/>
      <c r="N19" s="205"/>
    </row>
    <row r="20" spans="1:14" s="38" customFormat="1" ht="18">
      <c r="A20" s="35">
        <v>10</v>
      </c>
      <c r="B20" s="36" t="s">
        <v>32</v>
      </c>
      <c r="C20" s="37">
        <v>4553</v>
      </c>
      <c r="D20" s="182">
        <v>46</v>
      </c>
      <c r="E20" s="37">
        <v>315</v>
      </c>
      <c r="F20" s="37">
        <v>1</v>
      </c>
      <c r="G20" s="37">
        <v>335</v>
      </c>
      <c r="H20" s="37">
        <v>11</v>
      </c>
      <c r="I20" s="37">
        <v>0</v>
      </c>
      <c r="J20" s="37">
        <v>0</v>
      </c>
      <c r="K20" s="37">
        <v>0</v>
      </c>
      <c r="L20" s="37">
        <v>0</v>
      </c>
      <c r="M20" s="205"/>
      <c r="N20" s="205"/>
    </row>
    <row r="21" spans="1:14" s="38" customFormat="1" ht="18">
      <c r="A21" s="35">
        <v>11</v>
      </c>
      <c r="B21" s="36" t="s">
        <v>33</v>
      </c>
      <c r="C21" s="37">
        <v>1216</v>
      </c>
      <c r="D21" s="182">
        <v>105</v>
      </c>
      <c r="E21" s="37">
        <v>105</v>
      </c>
      <c r="F21" s="37">
        <v>1</v>
      </c>
      <c r="G21" s="37">
        <v>124</v>
      </c>
      <c r="H21" s="135">
        <v>6</v>
      </c>
      <c r="I21" s="37">
        <v>0</v>
      </c>
      <c r="J21" s="37">
        <v>0</v>
      </c>
      <c r="K21" s="37">
        <v>1</v>
      </c>
      <c r="L21" s="37">
        <v>1</v>
      </c>
      <c r="M21" s="205"/>
      <c r="N21" s="205"/>
    </row>
    <row r="22" spans="1:14" s="38" customFormat="1" ht="18">
      <c r="A22" s="35">
        <v>12</v>
      </c>
      <c r="B22" s="36" t="s">
        <v>34</v>
      </c>
      <c r="C22" s="37">
        <v>1868</v>
      </c>
      <c r="D22" s="182">
        <v>41</v>
      </c>
      <c r="E22" s="37">
        <v>165</v>
      </c>
      <c r="F22" s="37">
        <v>2</v>
      </c>
      <c r="G22" s="37">
        <v>164</v>
      </c>
      <c r="H22" s="37">
        <v>11</v>
      </c>
      <c r="I22" s="37">
        <v>0</v>
      </c>
      <c r="J22" s="37">
        <v>0</v>
      </c>
      <c r="K22" s="37">
        <v>0</v>
      </c>
      <c r="L22" s="37">
        <v>0</v>
      </c>
      <c r="M22" s="205"/>
      <c r="N22" s="205"/>
    </row>
    <row r="23" spans="1:14" s="38" customFormat="1" ht="18">
      <c r="A23" s="35">
        <v>13</v>
      </c>
      <c r="B23" s="36" t="s">
        <v>35</v>
      </c>
      <c r="C23" s="37">
        <v>1631</v>
      </c>
      <c r="D23" s="182">
        <v>65</v>
      </c>
      <c r="E23" s="37">
        <v>64</v>
      </c>
      <c r="F23" s="37">
        <v>3</v>
      </c>
      <c r="G23" s="37">
        <v>61</v>
      </c>
      <c r="H23" s="37">
        <v>6</v>
      </c>
      <c r="I23" s="37">
        <v>0</v>
      </c>
      <c r="J23" s="37">
        <v>0</v>
      </c>
      <c r="K23" s="37">
        <v>1</v>
      </c>
      <c r="L23" s="37">
        <v>0</v>
      </c>
      <c r="M23" s="205"/>
      <c r="N23" s="205"/>
    </row>
    <row r="24" spans="1:12" ht="18">
      <c r="A24" s="31"/>
      <c r="B24" s="32" t="s">
        <v>5</v>
      </c>
      <c r="C24" s="33">
        <f>SUM(C11:C23)</f>
        <v>45275</v>
      </c>
      <c r="D24" s="33">
        <f aca="true" t="shared" si="0" ref="D24:L24">SUM(D11:D23)</f>
        <v>2486</v>
      </c>
      <c r="E24" s="33">
        <f t="shared" si="0"/>
        <v>2642</v>
      </c>
      <c r="F24" s="33">
        <f t="shared" si="0"/>
        <v>41</v>
      </c>
      <c r="G24" s="33">
        <f t="shared" si="0"/>
        <v>2642</v>
      </c>
      <c r="H24" s="33">
        <f t="shared" si="0"/>
        <v>140</v>
      </c>
      <c r="I24" s="33">
        <f t="shared" si="0"/>
        <v>0</v>
      </c>
      <c r="J24" s="33">
        <f t="shared" si="0"/>
        <v>0</v>
      </c>
      <c r="K24" s="33">
        <f t="shared" si="0"/>
        <v>8</v>
      </c>
      <c r="L24" s="33">
        <f t="shared" si="0"/>
        <v>5</v>
      </c>
    </row>
    <row r="25" spans="4:12" ht="18.75">
      <c r="D25" s="277"/>
      <c r="E25" s="295"/>
      <c r="F25" s="136"/>
      <c r="G25" s="137"/>
      <c r="H25" s="183"/>
      <c r="I25" s="138"/>
      <c r="L25" s="184"/>
    </row>
    <row r="26" spans="4:9" ht="11.25" customHeight="1">
      <c r="D26" s="184"/>
      <c r="E26" s="184"/>
      <c r="G26" s="139"/>
      <c r="H26" s="134"/>
      <c r="I26" s="138"/>
    </row>
    <row r="27" spans="6:10" ht="18">
      <c r="F27" s="134"/>
      <c r="G27" s="140"/>
      <c r="H27" s="134"/>
      <c r="I27" s="139"/>
      <c r="J27" s="177" t="s">
        <v>134</v>
      </c>
    </row>
    <row r="28" spans="4:10" ht="18">
      <c r="D28" s="34"/>
      <c r="J28" s="178" t="s">
        <v>135</v>
      </c>
    </row>
    <row r="29" ht="18">
      <c r="J29" s="178" t="s">
        <v>115</v>
      </c>
    </row>
    <row r="30" ht="18">
      <c r="J30" s="179" t="s">
        <v>136</v>
      </c>
    </row>
    <row r="31" ht="18">
      <c r="J31" s="178" t="s">
        <v>117</v>
      </c>
    </row>
  </sheetData>
  <sheetProtection/>
  <mergeCells count="11"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  <mergeCell ref="B8:B9"/>
  </mergeCells>
  <conditionalFormatting sqref="J30">
    <cfRule type="cellIs" priority="1" dxfId="0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zoomScalePageLayoutView="0" workbookViewId="0" topLeftCell="A1">
      <selection activeCell="W2" sqref="W2"/>
    </sheetView>
  </sheetViews>
  <sheetFormatPr defaultColWidth="9.140625" defaultRowHeight="15"/>
  <cols>
    <col min="1" max="1" width="6.421875" style="76" customWidth="1"/>
    <col min="2" max="2" width="16.7109375" style="76" customWidth="1"/>
    <col min="3" max="4" width="10.00390625" style="76" customWidth="1"/>
    <col min="5" max="5" width="6.00390625" style="76" bestFit="1" customWidth="1"/>
    <col min="6" max="6" width="10.28125" style="76" bestFit="1" customWidth="1"/>
    <col min="7" max="7" width="6.00390625" style="76" bestFit="1" customWidth="1"/>
    <col min="8" max="8" width="10.28125" style="76" bestFit="1" customWidth="1"/>
    <col min="9" max="9" width="6.00390625" style="76" bestFit="1" customWidth="1"/>
    <col min="10" max="10" width="10.28125" style="76" bestFit="1" customWidth="1"/>
    <col min="11" max="11" width="6.8515625" style="76" bestFit="1" customWidth="1"/>
    <col min="12" max="12" width="9.421875" style="76" customWidth="1"/>
    <col min="13" max="13" width="6.8515625" style="76" bestFit="1" customWidth="1"/>
    <col min="14" max="14" width="10.28125" style="76" bestFit="1" customWidth="1"/>
    <col min="15" max="15" width="6.8515625" style="76" bestFit="1" customWidth="1"/>
    <col min="16" max="16" width="10.28125" style="76" bestFit="1" customWidth="1"/>
    <col min="17" max="17" width="6.8515625" style="76" bestFit="1" customWidth="1"/>
    <col min="18" max="18" width="8.57421875" style="76" customWidth="1"/>
    <col min="19" max="19" width="6.8515625" style="76" bestFit="1" customWidth="1"/>
    <col min="20" max="20" width="10.28125" style="76" bestFit="1" customWidth="1"/>
    <col min="21" max="22" width="6.8515625" style="76" bestFit="1" customWidth="1"/>
    <col min="23" max="16384" width="9.140625" style="76" customWidth="1"/>
  </cols>
  <sheetData>
    <row r="1" ht="18.75" customHeight="1">
      <c r="V1" s="77" t="s">
        <v>96</v>
      </c>
    </row>
    <row r="2" spans="1:22" ht="18.75" customHeight="1">
      <c r="A2" s="385" t="s">
        <v>138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</row>
    <row r="3" spans="1:22" ht="1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5" customHeight="1">
      <c r="A4" s="386" t="s">
        <v>143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</row>
    <row r="5" spans="1:22" ht="18" customHeight="1">
      <c r="A5" s="79" t="s">
        <v>38</v>
      </c>
      <c r="B5" s="8"/>
      <c r="C5" s="80"/>
      <c r="D5" s="80"/>
      <c r="E5" s="80"/>
      <c r="F5" s="80"/>
      <c r="G5" s="80"/>
      <c r="H5" s="80"/>
      <c r="I5" s="80"/>
      <c r="L5" s="81"/>
      <c r="V5" s="82"/>
    </row>
    <row r="6" spans="2:9" ht="18" customHeight="1">
      <c r="B6" s="83"/>
      <c r="C6" s="80"/>
      <c r="D6" s="80"/>
      <c r="E6" s="80"/>
      <c r="F6" s="80"/>
      <c r="G6" s="80"/>
      <c r="H6" s="80"/>
      <c r="I6" s="80"/>
    </row>
    <row r="7" spans="1:22" s="84" customFormat="1" ht="30.75" customHeight="1">
      <c r="A7" s="388" t="s">
        <v>82</v>
      </c>
      <c r="B7" s="388" t="s">
        <v>111</v>
      </c>
      <c r="C7" s="389" t="s">
        <v>83</v>
      </c>
      <c r="D7" s="389"/>
      <c r="E7" s="388" t="s">
        <v>84</v>
      </c>
      <c r="F7" s="388"/>
      <c r="G7" s="388"/>
      <c r="H7" s="388"/>
      <c r="I7" s="388"/>
      <c r="J7" s="388"/>
      <c r="K7" s="388"/>
      <c r="L7" s="388"/>
      <c r="M7" s="387" t="s">
        <v>98</v>
      </c>
      <c r="N7" s="387"/>
      <c r="O7" s="387"/>
      <c r="P7" s="387"/>
      <c r="Q7" s="387"/>
      <c r="R7" s="387"/>
      <c r="S7" s="387"/>
      <c r="T7" s="387"/>
      <c r="U7" s="387"/>
      <c r="V7" s="387"/>
    </row>
    <row r="8" spans="1:22" s="84" customFormat="1" ht="84.75" customHeight="1">
      <c r="A8" s="388"/>
      <c r="B8" s="388"/>
      <c r="C8" s="389" t="s">
        <v>87</v>
      </c>
      <c r="D8" s="389"/>
      <c r="E8" s="388" t="s">
        <v>88</v>
      </c>
      <c r="F8" s="388"/>
      <c r="G8" s="388" t="s">
        <v>89</v>
      </c>
      <c r="H8" s="388"/>
      <c r="I8" s="388" t="s">
        <v>90</v>
      </c>
      <c r="J8" s="388"/>
      <c r="K8" s="388" t="s">
        <v>91</v>
      </c>
      <c r="L8" s="388"/>
      <c r="M8" s="390" t="s">
        <v>99</v>
      </c>
      <c r="N8" s="390"/>
      <c r="O8" s="390" t="s">
        <v>100</v>
      </c>
      <c r="P8" s="390"/>
      <c r="Q8" s="390" t="s">
        <v>101</v>
      </c>
      <c r="R8" s="390"/>
      <c r="S8" s="390" t="s">
        <v>102</v>
      </c>
      <c r="T8" s="390"/>
      <c r="U8" s="390" t="s">
        <v>103</v>
      </c>
      <c r="V8" s="387"/>
    </row>
    <row r="9" spans="1:22" s="88" customFormat="1" ht="30.75" customHeight="1">
      <c r="A9" s="388"/>
      <c r="B9" s="388"/>
      <c r="C9" s="85" t="s">
        <v>92</v>
      </c>
      <c r="D9" s="85" t="s">
        <v>93</v>
      </c>
      <c r="E9" s="86" t="s">
        <v>92</v>
      </c>
      <c r="F9" s="86" t="s">
        <v>93</v>
      </c>
      <c r="G9" s="86" t="s">
        <v>92</v>
      </c>
      <c r="H9" s="86" t="s">
        <v>93</v>
      </c>
      <c r="I9" s="86" t="s">
        <v>92</v>
      </c>
      <c r="J9" s="86" t="s">
        <v>93</v>
      </c>
      <c r="K9" s="86" t="s">
        <v>92</v>
      </c>
      <c r="L9" s="86" t="s">
        <v>93</v>
      </c>
      <c r="M9" s="87" t="s">
        <v>92</v>
      </c>
      <c r="N9" s="87" t="s">
        <v>93</v>
      </c>
      <c r="O9" s="87" t="s">
        <v>92</v>
      </c>
      <c r="P9" s="87" t="s">
        <v>93</v>
      </c>
      <c r="Q9" s="87" t="s">
        <v>92</v>
      </c>
      <c r="R9" s="87" t="s">
        <v>93</v>
      </c>
      <c r="S9" s="87" t="s">
        <v>92</v>
      </c>
      <c r="T9" s="87" t="s">
        <v>93</v>
      </c>
      <c r="U9" s="87" t="s">
        <v>92</v>
      </c>
      <c r="V9" s="87" t="s">
        <v>92</v>
      </c>
    </row>
    <row r="10" spans="1:22" s="92" customFormat="1" ht="19.5" customHeight="1">
      <c r="A10" s="89">
        <v>1</v>
      </c>
      <c r="B10" s="89">
        <v>2</v>
      </c>
      <c r="C10" s="90">
        <v>3</v>
      </c>
      <c r="D10" s="90">
        <v>4</v>
      </c>
      <c r="E10" s="89">
        <v>5</v>
      </c>
      <c r="F10" s="89">
        <v>6</v>
      </c>
      <c r="G10" s="89">
        <v>7</v>
      </c>
      <c r="H10" s="89">
        <v>8</v>
      </c>
      <c r="I10" s="89">
        <v>9</v>
      </c>
      <c r="J10" s="89">
        <v>10</v>
      </c>
      <c r="K10" s="89">
        <v>11</v>
      </c>
      <c r="L10" s="89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</row>
    <row r="11" spans="1:22" s="99" customFormat="1" ht="73.5" customHeight="1">
      <c r="A11" s="93"/>
      <c r="B11" s="94" t="s">
        <v>117</v>
      </c>
      <c r="C11" s="95">
        <v>146</v>
      </c>
      <c r="D11" s="95">
        <v>141</v>
      </c>
      <c r="E11" s="96">
        <v>13</v>
      </c>
      <c r="F11" s="97">
        <v>13</v>
      </c>
      <c r="G11" s="97">
        <v>59</v>
      </c>
      <c r="H11" s="97">
        <v>59</v>
      </c>
      <c r="I11" s="97">
        <v>13</v>
      </c>
      <c r="J11" s="97">
        <v>13</v>
      </c>
      <c r="K11" s="97">
        <v>13</v>
      </c>
      <c r="L11" s="97">
        <v>13</v>
      </c>
      <c r="M11" s="98">
        <v>5</v>
      </c>
      <c r="N11" s="98">
        <v>5</v>
      </c>
      <c r="O11" s="98">
        <v>2</v>
      </c>
      <c r="P11" s="98">
        <v>2</v>
      </c>
      <c r="Q11" s="98">
        <v>1</v>
      </c>
      <c r="R11" s="98">
        <v>1</v>
      </c>
      <c r="S11" s="98" t="s">
        <v>118</v>
      </c>
      <c r="T11" s="98" t="s">
        <v>118</v>
      </c>
      <c r="U11" s="98">
        <v>1</v>
      </c>
      <c r="V11" s="98">
        <v>1</v>
      </c>
    </row>
    <row r="12" spans="9:11" ht="13.5">
      <c r="I12" s="391"/>
      <c r="J12" s="391"/>
      <c r="K12" s="391"/>
    </row>
    <row r="13" spans="9:11" ht="13.5">
      <c r="I13" s="100"/>
      <c r="J13" s="100"/>
      <c r="K13" s="100"/>
    </row>
    <row r="14" spans="9:11" ht="13.5">
      <c r="I14" s="100"/>
      <c r="J14" s="100"/>
      <c r="K14" s="100"/>
    </row>
    <row r="15" spans="9:11" ht="12.75">
      <c r="I15" s="384"/>
      <c r="J15" s="384"/>
      <c r="K15" s="384"/>
    </row>
    <row r="16" spans="9:11" ht="12.75">
      <c r="I16" s="102"/>
      <c r="J16" s="101"/>
      <c r="K16" s="102"/>
    </row>
    <row r="17" spans="9:20" ht="15.75">
      <c r="I17" s="384"/>
      <c r="J17" s="384"/>
      <c r="K17" s="384"/>
      <c r="R17" s="103" t="s">
        <v>134</v>
      </c>
      <c r="S17" s="104"/>
      <c r="T17" s="104"/>
    </row>
    <row r="18" spans="9:20" ht="15.75">
      <c r="I18" s="384"/>
      <c r="J18" s="384"/>
      <c r="K18" s="384"/>
      <c r="R18" s="105" t="s">
        <v>135</v>
      </c>
      <c r="S18" s="106"/>
      <c r="T18" s="106"/>
    </row>
    <row r="19" spans="18:20" ht="15.75">
      <c r="R19" s="105" t="s">
        <v>115</v>
      </c>
      <c r="S19" s="106"/>
      <c r="T19" s="106"/>
    </row>
    <row r="20" spans="18:20" ht="15.75">
      <c r="R20" s="107" t="s">
        <v>136</v>
      </c>
      <c r="S20" s="108"/>
      <c r="T20" s="108"/>
    </row>
    <row r="21" spans="18:20" ht="15.75">
      <c r="R21" s="105" t="s">
        <v>117</v>
      </c>
      <c r="S21" s="106"/>
      <c r="T21" s="106"/>
    </row>
    <row r="22" ht="12.75">
      <c r="R22" s="109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zoomScalePageLayoutView="0" workbookViewId="0" topLeftCell="F1">
      <selection activeCell="M27" sqref="M27"/>
    </sheetView>
  </sheetViews>
  <sheetFormatPr defaultColWidth="9.140625" defaultRowHeight="15"/>
  <cols>
    <col min="1" max="1" width="6.7109375" style="110" customWidth="1"/>
    <col min="2" max="2" width="19.00390625" style="110" customWidth="1"/>
    <col min="3" max="4" width="7.421875" style="111" customWidth="1"/>
    <col min="5" max="26" width="6.7109375" style="111" customWidth="1"/>
    <col min="27" max="16384" width="9.140625" style="110" customWidth="1"/>
  </cols>
  <sheetData>
    <row r="1" spans="11:26" ht="12" customHeight="1">
      <c r="K1" s="394"/>
      <c r="L1" s="394"/>
      <c r="M1" s="112"/>
      <c r="N1" s="112"/>
      <c r="O1" s="112"/>
      <c r="P1" s="112"/>
      <c r="Q1" s="112"/>
      <c r="R1" s="112"/>
      <c r="S1" s="112"/>
      <c r="T1" s="112"/>
      <c r="U1" s="112"/>
      <c r="V1" s="112"/>
      <c r="X1" s="113"/>
      <c r="Y1" s="110"/>
      <c r="Z1" s="114" t="s">
        <v>97</v>
      </c>
    </row>
    <row r="2" spans="1:26" s="76" customFormat="1" ht="18.75" customHeight="1">
      <c r="A2" s="385" t="s">
        <v>138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</row>
    <row r="3" spans="1:26" s="76" customFormat="1" ht="6.75" customHeight="1">
      <c r="A3" s="78"/>
      <c r="B3" s="78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6"/>
      <c r="Y3" s="116"/>
      <c r="Z3" s="116"/>
    </row>
    <row r="4" spans="1:26" s="76" customFormat="1" ht="21" customHeight="1">
      <c r="A4" s="386" t="s">
        <v>144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  <c r="Z4" s="386"/>
    </row>
    <row r="5" spans="1:26" ht="18" customHeight="1">
      <c r="A5" s="79" t="s">
        <v>38</v>
      </c>
      <c r="B5" s="117"/>
      <c r="C5" s="118"/>
      <c r="D5" s="118"/>
      <c r="E5" s="118"/>
      <c r="F5" s="118"/>
      <c r="G5" s="118"/>
      <c r="H5" s="118"/>
      <c r="I5" s="118"/>
      <c r="X5" s="392"/>
      <c r="Y5" s="392"/>
      <c r="Z5" s="392"/>
    </row>
    <row r="6" spans="1:26" ht="18" customHeight="1">
      <c r="A6" s="120"/>
      <c r="B6" s="120"/>
      <c r="C6" s="118"/>
      <c r="D6" s="118"/>
      <c r="E6" s="118"/>
      <c r="F6" s="118"/>
      <c r="G6" s="118"/>
      <c r="H6" s="118"/>
      <c r="I6" s="118"/>
      <c r="X6" s="119"/>
      <c r="Y6" s="119"/>
      <c r="Z6" s="119"/>
    </row>
    <row r="7" spans="1:26" s="88" customFormat="1" ht="30.75" customHeight="1">
      <c r="A7" s="406" t="s">
        <v>82</v>
      </c>
      <c r="B7" s="403" t="s">
        <v>111</v>
      </c>
      <c r="C7" s="401" t="s">
        <v>83</v>
      </c>
      <c r="D7" s="402"/>
      <c r="E7" s="400" t="s">
        <v>84</v>
      </c>
      <c r="F7" s="400"/>
      <c r="G7" s="400"/>
      <c r="H7" s="400"/>
      <c r="I7" s="400"/>
      <c r="J7" s="400"/>
      <c r="K7" s="400"/>
      <c r="L7" s="400"/>
      <c r="M7" s="395" t="s">
        <v>98</v>
      </c>
      <c r="N7" s="396"/>
      <c r="O7" s="396"/>
      <c r="P7" s="396"/>
      <c r="Q7" s="396"/>
      <c r="R7" s="396"/>
      <c r="S7" s="396"/>
      <c r="T7" s="396"/>
      <c r="U7" s="396"/>
      <c r="V7" s="396"/>
      <c r="W7" s="397" t="s">
        <v>85</v>
      </c>
      <c r="X7" s="397"/>
      <c r="Y7" s="397" t="s">
        <v>86</v>
      </c>
      <c r="Z7" s="397"/>
    </row>
    <row r="8" spans="1:26" s="88" customFormat="1" ht="39.75" customHeight="1">
      <c r="A8" s="407"/>
      <c r="B8" s="404"/>
      <c r="C8" s="409" t="s">
        <v>87</v>
      </c>
      <c r="D8" s="410"/>
      <c r="E8" s="393" t="s">
        <v>88</v>
      </c>
      <c r="F8" s="393"/>
      <c r="G8" s="393" t="s">
        <v>89</v>
      </c>
      <c r="H8" s="393"/>
      <c r="I8" s="393" t="s">
        <v>90</v>
      </c>
      <c r="J8" s="393"/>
      <c r="K8" s="393" t="s">
        <v>91</v>
      </c>
      <c r="L8" s="393"/>
      <c r="M8" s="398" t="s">
        <v>99</v>
      </c>
      <c r="N8" s="398"/>
      <c r="O8" s="398" t="s">
        <v>100</v>
      </c>
      <c r="P8" s="398"/>
      <c r="Q8" s="398" t="s">
        <v>101</v>
      </c>
      <c r="R8" s="398"/>
      <c r="S8" s="398" t="s">
        <v>102</v>
      </c>
      <c r="T8" s="398"/>
      <c r="U8" s="398" t="s">
        <v>103</v>
      </c>
      <c r="V8" s="399"/>
      <c r="W8" s="397"/>
      <c r="X8" s="397"/>
      <c r="Y8" s="397"/>
      <c r="Z8" s="397"/>
    </row>
    <row r="9" spans="1:26" s="88" customFormat="1" ht="25.5" customHeight="1">
      <c r="A9" s="408"/>
      <c r="B9" s="405"/>
      <c r="C9" s="121" t="s">
        <v>94</v>
      </c>
      <c r="D9" s="121" t="s">
        <v>95</v>
      </c>
      <c r="E9" s="122" t="s">
        <v>94</v>
      </c>
      <c r="F9" s="122" t="s">
        <v>95</v>
      </c>
      <c r="G9" s="122" t="s">
        <v>94</v>
      </c>
      <c r="H9" s="122" t="s">
        <v>95</v>
      </c>
      <c r="I9" s="122" t="s">
        <v>94</v>
      </c>
      <c r="J9" s="122" t="s">
        <v>95</v>
      </c>
      <c r="K9" s="122" t="s">
        <v>94</v>
      </c>
      <c r="L9" s="122" t="s">
        <v>95</v>
      </c>
      <c r="M9" s="87" t="s">
        <v>94</v>
      </c>
      <c r="N9" s="87" t="s">
        <v>95</v>
      </c>
      <c r="O9" s="87" t="s">
        <v>94</v>
      </c>
      <c r="P9" s="87" t="s">
        <v>95</v>
      </c>
      <c r="Q9" s="87" t="s">
        <v>94</v>
      </c>
      <c r="R9" s="87" t="s">
        <v>95</v>
      </c>
      <c r="S9" s="87" t="s">
        <v>94</v>
      </c>
      <c r="T9" s="87" t="s">
        <v>95</v>
      </c>
      <c r="U9" s="87" t="s">
        <v>94</v>
      </c>
      <c r="V9" s="87" t="s">
        <v>95</v>
      </c>
      <c r="W9" s="86" t="s">
        <v>94</v>
      </c>
      <c r="X9" s="86" t="s">
        <v>95</v>
      </c>
      <c r="Y9" s="86" t="s">
        <v>94</v>
      </c>
      <c r="Z9" s="86" t="s">
        <v>95</v>
      </c>
    </row>
    <row r="10" spans="1:26" s="124" customFormat="1" ht="19.5" customHeight="1">
      <c r="A10" s="89">
        <v>1</v>
      </c>
      <c r="B10" s="89">
        <v>2</v>
      </c>
      <c r="C10" s="89">
        <v>3</v>
      </c>
      <c r="D10" s="89">
        <v>4</v>
      </c>
      <c r="E10" s="123">
        <v>5</v>
      </c>
      <c r="F10" s="123">
        <v>6</v>
      </c>
      <c r="G10" s="123">
        <v>7</v>
      </c>
      <c r="H10" s="123">
        <v>8</v>
      </c>
      <c r="I10" s="123">
        <v>9</v>
      </c>
      <c r="J10" s="123">
        <v>10</v>
      </c>
      <c r="K10" s="123">
        <v>11</v>
      </c>
      <c r="L10" s="123">
        <v>12</v>
      </c>
      <c r="M10" s="123">
        <v>13</v>
      </c>
      <c r="N10" s="123">
        <v>14</v>
      </c>
      <c r="O10" s="123">
        <v>15</v>
      </c>
      <c r="P10" s="123">
        <v>16</v>
      </c>
      <c r="Q10" s="123">
        <v>17</v>
      </c>
      <c r="R10" s="123">
        <v>18</v>
      </c>
      <c r="S10" s="123">
        <v>19</v>
      </c>
      <c r="T10" s="123">
        <v>20</v>
      </c>
      <c r="U10" s="123">
        <v>21</v>
      </c>
      <c r="V10" s="123">
        <v>22</v>
      </c>
      <c r="W10" s="123">
        <v>23</v>
      </c>
      <c r="X10" s="123">
        <v>24</v>
      </c>
      <c r="Y10" s="123">
        <v>25</v>
      </c>
      <c r="Z10" s="123">
        <v>26</v>
      </c>
    </row>
    <row r="11" spans="1:26" s="129" customFormat="1" ht="82.5" customHeight="1">
      <c r="A11" s="125"/>
      <c r="B11" s="125" t="s">
        <v>117</v>
      </c>
      <c r="C11" s="126">
        <v>141</v>
      </c>
      <c r="D11" s="126">
        <v>141</v>
      </c>
      <c r="E11" s="127">
        <v>13</v>
      </c>
      <c r="F11" s="127">
        <v>13</v>
      </c>
      <c r="G11" s="127">
        <v>59</v>
      </c>
      <c r="H11" s="127">
        <v>59</v>
      </c>
      <c r="I11" s="127">
        <v>13</v>
      </c>
      <c r="J11" s="127">
        <v>13</v>
      </c>
      <c r="K11" s="127">
        <v>13</v>
      </c>
      <c r="L11" s="127">
        <v>13</v>
      </c>
      <c r="M11" s="128">
        <v>5</v>
      </c>
      <c r="N11" s="128">
        <v>5</v>
      </c>
      <c r="O11" s="128">
        <v>2</v>
      </c>
      <c r="P11" s="128">
        <v>2</v>
      </c>
      <c r="Q11" s="128">
        <v>1</v>
      </c>
      <c r="R11" s="128">
        <v>1</v>
      </c>
      <c r="S11" s="128" t="s">
        <v>118</v>
      </c>
      <c r="T11" s="128" t="s">
        <v>118</v>
      </c>
      <c r="U11" s="128">
        <v>1</v>
      </c>
      <c r="V11" s="128">
        <v>1</v>
      </c>
      <c r="W11" s="128">
        <v>2406</v>
      </c>
      <c r="X11" s="128">
        <v>2406</v>
      </c>
      <c r="Y11" s="128">
        <v>3085</v>
      </c>
      <c r="Z11" s="128">
        <v>3085</v>
      </c>
    </row>
    <row r="12" spans="12:24" ht="15"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</row>
    <row r="13" spans="12:24" ht="15"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2:24" ht="15"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</row>
    <row r="15" spans="12:24" ht="15"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</row>
    <row r="16" ht="15">
      <c r="X16" s="132"/>
    </row>
    <row r="17" spans="13:22" ht="16.5">
      <c r="M17" s="133"/>
      <c r="N17" s="133"/>
      <c r="O17" s="133"/>
      <c r="P17" s="133"/>
      <c r="Q17" s="133"/>
      <c r="R17" s="133"/>
      <c r="S17" s="133"/>
      <c r="T17" s="133"/>
      <c r="V17" s="103" t="s">
        <v>134</v>
      </c>
    </row>
    <row r="18" ht="16.5">
      <c r="V18" s="105" t="s">
        <v>135</v>
      </c>
    </row>
    <row r="19" ht="16.5">
      <c r="V19" s="105" t="s">
        <v>115</v>
      </c>
    </row>
    <row r="20" ht="16.5">
      <c r="V20" s="107" t="s">
        <v>136</v>
      </c>
    </row>
    <row r="21" ht="16.5">
      <c r="V21" s="105" t="s">
        <v>117</v>
      </c>
    </row>
  </sheetData>
  <sheetProtection/>
  <mergeCells count="21">
    <mergeCell ref="B7:B9"/>
    <mergeCell ref="A7:A9"/>
    <mergeCell ref="C8:D8"/>
    <mergeCell ref="M8:N8"/>
    <mergeCell ref="Y7:Z8"/>
    <mergeCell ref="E7:L7"/>
    <mergeCell ref="E8:F8"/>
    <mergeCell ref="C7:D7"/>
    <mergeCell ref="I8:J8"/>
    <mergeCell ref="S8:T8"/>
    <mergeCell ref="O8:P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MGNREGA-4</cp:lastModifiedBy>
  <cp:lastPrinted>2010-11-15T04:48:09Z</cp:lastPrinted>
  <dcterms:created xsi:type="dcterms:W3CDTF">2008-06-03T10:00:46Z</dcterms:created>
  <dcterms:modified xsi:type="dcterms:W3CDTF">2010-11-25T06:43:36Z</dcterms:modified>
  <cp:category/>
  <cp:version/>
  <cp:contentType/>
  <cp:contentStatus/>
</cp:coreProperties>
</file>